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firstSheet="1" activeTab="1"/>
  </bookViews>
  <sheets>
    <sheet name="проект 1 с переносом" sheetId="1" r:id="rId1"/>
    <sheet name="по голосованию" sheetId="2" r:id="rId2"/>
  </sheets>
  <definedNames>
    <definedName name="_xlnm.Print_Area" localSheetId="1">'по голосованию'!$A$1:$H$137</definedName>
    <definedName name="_xlnm.Print_Area" localSheetId="0">'проект 1 с переносом'!$A$1:$H$172</definedName>
  </definedNames>
  <calcPr fullCalcOnLoad="1"/>
</workbook>
</file>

<file path=xl/sharedStrings.xml><?xml version="1.0" encoding="utf-8"?>
<sst xmlns="http://schemas.openxmlformats.org/spreadsheetml/2006/main" count="365" uniqueCount="139">
  <si>
    <t>Приложение №1</t>
  </si>
  <si>
    <t>к дополнительному соглашению№_______</t>
  </si>
  <si>
    <t>к договору управления многоквартирным домом</t>
  </si>
  <si>
    <t>Перечень работ и услуг по содержанию и ремонту общего имущества в многоквартирном доме</t>
  </si>
  <si>
    <t>наименование работ и услуг</t>
  </si>
  <si>
    <t>периодичность выполняемых работ</t>
  </si>
  <si>
    <t>Годовой размер платы на 1м2 общей площади помещения (рублей)</t>
  </si>
  <si>
    <t xml:space="preserve">Стоимость на 1м2 общей площади помещения (рублей в месяц) </t>
  </si>
  <si>
    <t>Обязательные работы и услуги по содержанию и ремонту общего имущества собственников помещений в многоквартирном доме</t>
  </si>
  <si>
    <t>ежемесячно</t>
  </si>
  <si>
    <t>Уборка земельного участка, входящего в состав общего имущества</t>
  </si>
  <si>
    <t>6 раз в неделю</t>
  </si>
  <si>
    <t>по мере необходимости</t>
  </si>
  <si>
    <t>Расчетно-кассовое обслуживание</t>
  </si>
  <si>
    <t>1 раз в месяц</t>
  </si>
  <si>
    <t>Аварийное обслуживание</t>
  </si>
  <si>
    <t>круглосуточно</t>
  </si>
  <si>
    <t>1 раз в год</t>
  </si>
  <si>
    <t>гидравлическое испытание входной запорной арматуры</t>
  </si>
  <si>
    <t>промывка системы отопления</t>
  </si>
  <si>
    <t>опресовка системы отопления</t>
  </si>
  <si>
    <t>заполнение системы отопления технической водой с удалением воздушных пробок</t>
  </si>
  <si>
    <t>2 раза в год</t>
  </si>
  <si>
    <t>Обслуживание вводных и внутренних газопроводов жилого фонда</t>
  </si>
  <si>
    <t>Организация и проведение микробиологического и санитарно - химического контроля горячего водоснабжения</t>
  </si>
  <si>
    <t>Дератизация</t>
  </si>
  <si>
    <t>12 раз в год</t>
  </si>
  <si>
    <t>Дезинсекция</t>
  </si>
  <si>
    <t>6 раз в год</t>
  </si>
  <si>
    <t>Сбор, вывоз и утилизация ТБО*</t>
  </si>
  <si>
    <t>руб./чел.</t>
  </si>
  <si>
    <t xml:space="preserve">Управляющая организация   _____________________                                            Собственник __________________________                               </t>
  </si>
  <si>
    <t>М.П.</t>
  </si>
  <si>
    <t>ИТОГО:</t>
  </si>
  <si>
    <t>Работы заявочного характера</t>
  </si>
  <si>
    <t xml:space="preserve">от _____________ 2008г </t>
  </si>
  <si>
    <t xml:space="preserve">Годовая стоимость                ( на весь дом), руб. </t>
  </si>
  <si>
    <t>Регламентные работы по системе отопления в т.числе:</t>
  </si>
  <si>
    <t>проверка бойлера на плотность и прочность</t>
  </si>
  <si>
    <t>проверка бойлера на предмет накипиобразования латунных трубок ( со снятием калачей )</t>
  </si>
  <si>
    <t>перевод реле времени</t>
  </si>
  <si>
    <t>ревизия ВРУ</t>
  </si>
  <si>
    <t>прочистка канализационных выпусков до стены здания</t>
  </si>
  <si>
    <t>Регламентные работы по системе горячего водоснабжения в т.числе:</t>
  </si>
  <si>
    <t>Регламентные работы по системе холодного водоснабжения в т.числе:</t>
  </si>
  <si>
    <t>Регламентные работы по системе электроснабжени в т.числе:</t>
  </si>
  <si>
    <t>Регламентные работы по системе водоотведения в т.числе:</t>
  </si>
  <si>
    <t>отключение системы отопления</t>
  </si>
  <si>
    <t>установка шарового крана на выходе с ВВП горячей воды для взятия проб,сдачи анализа ГВС ф 15</t>
  </si>
  <si>
    <t>установка модуля проверки лежаков системы ГВС на закипание</t>
  </si>
  <si>
    <t>проверка лежаков ГВС на закипание</t>
  </si>
  <si>
    <t>Обслуживание общедомовых приборов учета холодного водоснабжения</t>
  </si>
  <si>
    <t>Поверка общедомовых приборов учета холодного водоснабжения</t>
  </si>
  <si>
    <t>Поверка общедомовых приборов учета горячего водоснабжения</t>
  </si>
  <si>
    <t>Регламентные работы по содержанию кровли в т.числе:</t>
  </si>
  <si>
    <t>Регламентные работы по системе вентиляции в т.числе:</t>
  </si>
  <si>
    <t>промывка фильтров в тепловом пункте</t>
  </si>
  <si>
    <t>регулировка элеваторного узла</t>
  </si>
  <si>
    <t>проверка работы регулятора температуры на бойлере</t>
  </si>
  <si>
    <t>обслуживание насосов холодного водоснабжения</t>
  </si>
  <si>
    <t>ревизия элеваторного узла ( сопло )</t>
  </si>
  <si>
    <t>3 раза в год</t>
  </si>
  <si>
    <t>отключение системы отопления в местах общего пользования</t>
  </si>
  <si>
    <t>подключение системы отопления в местах общего пользования</t>
  </si>
  <si>
    <t>восстановление циркуляции ГВС ( после опрессовки и проверки бойлера на плотность и прочность), сброс воздушных пробок</t>
  </si>
  <si>
    <t>4 раза в год</t>
  </si>
  <si>
    <t>1 раз</t>
  </si>
  <si>
    <t>опрессовка бойлера</t>
  </si>
  <si>
    <t>восстановление подвального освещения</t>
  </si>
  <si>
    <t>проверка вентиляционных каналов и канализационных вытяжек</t>
  </si>
  <si>
    <t>очистка от снега и льда водостоков</t>
  </si>
  <si>
    <t>восстановление водостоков ( мелкий ремонт после очистки от снега и льда )</t>
  </si>
  <si>
    <t>восстановление общедомового уличного освещения</t>
  </si>
  <si>
    <t>замена ( поверка ) КИП</t>
  </si>
  <si>
    <t>восстановление чердачного освещения</t>
  </si>
  <si>
    <t>Обслуживание общедомовых приборов учета горячего водоснабжения</t>
  </si>
  <si>
    <t>(многоквартирный дом с газовыми плитами )</t>
  </si>
  <si>
    <t>ревизия ШР, ЩЭ</t>
  </si>
  <si>
    <t>смена трубопроводов отопления</t>
  </si>
  <si>
    <t>Обслуживание общедомовыХ приборов учета теплоэнергии</t>
  </si>
  <si>
    <t>ревизия задвижек  ХВС (диам.80мм-1шт., диам.100мм-2шт.)</t>
  </si>
  <si>
    <t>по адресу: ул.Ленинского Комсомола, д.10 (Sобщ.=4198,9м2, Sзем.уч.=2975,33м2)</t>
  </si>
  <si>
    <t>Расчет размера платы за содержание и ремонт общего имущества в многоквартирном доме</t>
  </si>
  <si>
    <t>1 раз в 4 месяца</t>
  </si>
  <si>
    <t>договорная и претензионно-исковая работа, взыскание задолженности по ЖКУ</t>
  </si>
  <si>
    <t>постоянно</t>
  </si>
  <si>
    <t>ведение технической документации</t>
  </si>
  <si>
    <t>осмотр мест общего пользования и инженерных сетей</t>
  </si>
  <si>
    <t>1 раз в квартал</t>
  </si>
  <si>
    <t>работа с обращениями граждан</t>
  </si>
  <si>
    <t>подметание земельного участка в летний период</t>
  </si>
  <si>
    <t>уборка мусора с газона</t>
  </si>
  <si>
    <t>сдвижка и подметание снега при отсутствии снегопадов</t>
  </si>
  <si>
    <t>сдвижка и подметание снега при снегопаде</t>
  </si>
  <si>
    <t>погрузка мусора на автотранспорт вручную</t>
  </si>
  <si>
    <t>очистка урн отмусора</t>
  </si>
  <si>
    <t>посыпка территории песко - соляной смесью</t>
  </si>
  <si>
    <t>1 раз в сутки во время гололеда</t>
  </si>
  <si>
    <t>Дополнительные работы (по текущему ремонту), в т.ч.:</t>
  </si>
  <si>
    <t>ВСЕГО</t>
  </si>
  <si>
    <t>очистка от снега и наледи козырьков подъездов</t>
  </si>
  <si>
    <t>Проект</t>
  </si>
  <si>
    <t>ремонт канализационных вытяжек</t>
  </si>
  <si>
    <t>замена насоса гвс / резерв /</t>
  </si>
  <si>
    <t>подключение системы отопления с регулировкой</t>
  </si>
  <si>
    <t>замена  КИП манометры 12 шт., термометры 12 шт.</t>
  </si>
  <si>
    <t>замена  КИП на ВВП  манометры 4 шт., термометр 4 шт.</t>
  </si>
  <si>
    <t>замена  КИП  манометры 1 шт.</t>
  </si>
  <si>
    <t>1 раз в 3 года</t>
  </si>
  <si>
    <t>Сбор, вывоз и утилизация ТБО, руб/м2</t>
  </si>
  <si>
    <t>ремонт панельных швов 300 п.м.</t>
  </si>
  <si>
    <t>ремонт отмостки 100 м2</t>
  </si>
  <si>
    <t>смена задвижек на ВВП (отопление) диам.50 - 1 шт., диам.80 - 2 шт.</t>
  </si>
  <si>
    <t>смена элеватора</t>
  </si>
  <si>
    <t>ремонт системы водоотведения</t>
  </si>
  <si>
    <t>ремонт освещения в подвале</t>
  </si>
  <si>
    <t>энергоаудит</t>
  </si>
  <si>
    <t>установка электронного регулятора температуры на ВВП</t>
  </si>
  <si>
    <t>заполнение электронных паспортов</t>
  </si>
  <si>
    <t>учет работ по капремонту</t>
  </si>
  <si>
    <t>Поверка  общедомовых приборов учета холодного водоснабжения</t>
  </si>
  <si>
    <t>гидравлическое испытание элеваторных узлов и запорной арматуры</t>
  </si>
  <si>
    <t>ревизия задвижек отопления (дима.50мм-12 шт., диам.80 мм - 1 шт.)</t>
  </si>
  <si>
    <t>пылеудаление и дезинфекция вентиляционных каналов без пробивки</t>
  </si>
  <si>
    <t>ремонт секций ВВП</t>
  </si>
  <si>
    <t>изготовление и установка мет.решеток на подвальные продухи (18 шт.)</t>
  </si>
  <si>
    <t>установка колпаков на ливневую канализацию 6 шт.</t>
  </si>
  <si>
    <t>устройство ступеней к крыльцам подъездов № 2,3,4,5,6</t>
  </si>
  <si>
    <t>ремонт мягкой кровли  лоджий 6 шт.</t>
  </si>
  <si>
    <t>2014 - 2015 г.г.</t>
  </si>
  <si>
    <t>Итого</t>
  </si>
  <si>
    <t>Управление многоквартирным домом, всего в т.ч.</t>
  </si>
  <si>
    <t>очистка  водоприемных воронок</t>
  </si>
  <si>
    <t>установка шаровых задвижек на СТС диам.80 мм - 2 шт.</t>
  </si>
  <si>
    <t>(стоимость услуг  увеличена на 6,6% в соответствии с уровнем инфляции 2013 г.)</t>
  </si>
  <si>
    <t>монтаж кабельных линий от термосопротивлений до приборов учета тепла системы теплоснабжения и ГВС МКД</t>
  </si>
  <si>
    <t>установка поручня в подъезде № 5</t>
  </si>
  <si>
    <t>ремонт уличного освещения</t>
  </si>
  <si>
    <t>Замена общедомовых приборов учета теплоэнергии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</si>
</sst>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.0"/>
    <numFmt numFmtId="166" formatCode="#,##0.0"/>
    <numFmt numFmtId="167" formatCode="0.000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Black"/>
      <family val="2"/>
    </font>
    <font>
      <sz val="11"/>
      <name val="Arial Black"/>
      <family val="2"/>
    </font>
    <font>
      <sz val="12"/>
      <name val="Arial Cyr"/>
      <family val="0"/>
    </font>
    <font>
      <sz val="11"/>
      <name val="Arial Cyr"/>
      <family val="2"/>
    </font>
    <font>
      <sz val="10"/>
      <color indexed="10"/>
      <name val="Arial Cyr"/>
      <family val="2"/>
    </font>
    <font>
      <sz val="12"/>
      <name val="Arial Black"/>
      <family val="2"/>
    </font>
    <font>
      <sz val="11"/>
      <name val="Arial"/>
      <family val="2"/>
    </font>
    <font>
      <sz val="10"/>
      <name val="Arial"/>
      <family val="2"/>
    </font>
    <font>
      <b/>
      <sz val="14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46">
    <xf numFmtId="0" fontId="0" fillId="0" borderId="0" xfId="0" applyAlignment="1">
      <alignment/>
    </xf>
    <xf numFmtId="0" fontId="0" fillId="0" borderId="0" xfId="0" applyFill="1" applyAlignment="1">
      <alignment/>
    </xf>
    <xf numFmtId="0" fontId="18" fillId="0" borderId="0" xfId="0" applyFont="1" applyFill="1" applyAlignment="1">
      <alignment horizontal="center" vertical="center"/>
    </xf>
    <xf numFmtId="0" fontId="18" fillId="24" borderId="0" xfId="0" applyFont="1" applyFill="1" applyAlignment="1">
      <alignment horizontal="center" vertical="center"/>
    </xf>
    <xf numFmtId="0" fontId="20" fillId="0" borderId="0" xfId="0" applyFont="1" applyFill="1" applyAlignment="1">
      <alignment/>
    </xf>
    <xf numFmtId="2" fontId="0" fillId="0" borderId="0" xfId="0" applyNumberFormat="1" applyFill="1" applyAlignment="1">
      <alignment horizontal="center" vertical="center" wrapText="1"/>
    </xf>
    <xf numFmtId="2" fontId="0" fillId="0" borderId="0" xfId="0" applyNumberFormat="1" applyFont="1" applyFill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textRotation="90" wrapText="1"/>
    </xf>
    <xf numFmtId="0" fontId="18" fillId="0" borderId="11" xfId="0" applyFont="1" applyFill="1" applyBorder="1" applyAlignment="1">
      <alignment horizontal="center" vertical="center" wrapText="1"/>
    </xf>
    <xf numFmtId="0" fontId="18" fillId="24" borderId="12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2" fontId="18" fillId="0" borderId="16" xfId="0" applyNumberFormat="1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left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left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2" fontId="18" fillId="0" borderId="18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left" vertical="center" wrapText="1"/>
    </xf>
    <xf numFmtId="2" fontId="0" fillId="24" borderId="18" xfId="0" applyNumberFormat="1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2" fontId="18" fillId="0" borderId="20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/>
    </xf>
    <xf numFmtId="0" fontId="23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0" fillId="24" borderId="0" xfId="0" applyFill="1" applyAlignment="1">
      <alignment/>
    </xf>
    <xf numFmtId="0" fontId="19" fillId="24" borderId="10" xfId="0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24" borderId="19" xfId="0" applyFont="1" applyFill="1" applyBorder="1" applyAlignment="1">
      <alignment horizontal="left" vertical="center" wrapText="1"/>
    </xf>
    <xf numFmtId="2" fontId="0" fillId="24" borderId="16" xfId="0" applyNumberFormat="1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2" fontId="25" fillId="0" borderId="18" xfId="0" applyNumberFormat="1" applyFont="1" applyFill="1" applyBorder="1" applyAlignment="1">
      <alignment horizontal="center" vertical="center" wrapText="1"/>
    </xf>
    <xf numFmtId="2" fontId="25" fillId="0" borderId="20" xfId="0" applyNumberFormat="1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left" vertical="center" wrapText="1"/>
    </xf>
    <xf numFmtId="0" fontId="24" fillId="0" borderId="19" xfId="0" applyFont="1" applyFill="1" applyBorder="1" applyAlignment="1">
      <alignment horizontal="left" vertical="center" wrapText="1"/>
    </xf>
    <xf numFmtId="0" fontId="24" fillId="0" borderId="24" xfId="0" applyFont="1" applyFill="1" applyBorder="1" applyAlignment="1">
      <alignment horizontal="left" vertical="center" wrapText="1"/>
    </xf>
    <xf numFmtId="0" fontId="25" fillId="0" borderId="17" xfId="0" applyFont="1" applyFill="1" applyBorder="1" applyAlignment="1">
      <alignment horizontal="left" vertical="center" wrapText="1"/>
    </xf>
    <xf numFmtId="0" fontId="25" fillId="0" borderId="16" xfId="0" applyFont="1" applyFill="1" applyBorder="1" applyAlignment="1">
      <alignment horizontal="center" vertical="center" wrapText="1"/>
    </xf>
    <xf numFmtId="2" fontId="25" fillId="0" borderId="16" xfId="0" applyNumberFormat="1" applyFont="1" applyFill="1" applyBorder="1" applyAlignment="1">
      <alignment horizontal="center" vertical="center" wrapText="1"/>
    </xf>
    <xf numFmtId="0" fontId="0" fillId="24" borderId="19" xfId="0" applyFont="1" applyFill="1" applyBorder="1" applyAlignment="1">
      <alignment horizontal="left" vertical="center" wrapText="1"/>
    </xf>
    <xf numFmtId="0" fontId="0" fillId="24" borderId="18" xfId="0" applyFont="1" applyFill="1" applyBorder="1" applyAlignment="1">
      <alignment horizontal="center" vertical="center" wrapText="1"/>
    </xf>
    <xf numFmtId="2" fontId="18" fillId="24" borderId="16" xfId="0" applyNumberFormat="1" applyFont="1" applyFill="1" applyBorder="1" applyAlignment="1">
      <alignment horizontal="center" vertical="center" wrapText="1"/>
    </xf>
    <xf numFmtId="0" fontId="18" fillId="24" borderId="0" xfId="0" applyFont="1" applyFill="1" applyAlignment="1">
      <alignment horizontal="center" vertical="center" wrapText="1"/>
    </xf>
    <xf numFmtId="0" fontId="0" fillId="24" borderId="24" xfId="0" applyFont="1" applyFill="1" applyBorder="1" applyAlignment="1">
      <alignment horizontal="left" vertical="center" wrapText="1"/>
    </xf>
    <xf numFmtId="0" fontId="0" fillId="24" borderId="20" xfId="0" applyFont="1" applyFill="1" applyBorder="1" applyAlignment="1">
      <alignment horizontal="center" vertical="center" wrapText="1"/>
    </xf>
    <xf numFmtId="0" fontId="0" fillId="24" borderId="25" xfId="0" applyFont="1" applyFill="1" applyBorder="1" applyAlignment="1">
      <alignment horizontal="left" vertical="center" wrapText="1"/>
    </xf>
    <xf numFmtId="0" fontId="0" fillId="24" borderId="26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23" fillId="0" borderId="10" xfId="0" applyFont="1" applyFill="1" applyBorder="1" applyAlignment="1">
      <alignment horizontal="left" vertical="center"/>
    </xf>
    <xf numFmtId="0" fontId="23" fillId="0" borderId="11" xfId="0" applyFont="1" applyFill="1" applyBorder="1" applyAlignment="1">
      <alignment horizontal="center" vertical="center"/>
    </xf>
    <xf numFmtId="2" fontId="23" fillId="0" borderId="11" xfId="0" applyNumberFormat="1" applyFont="1" applyFill="1" applyBorder="1" applyAlignment="1">
      <alignment horizontal="center" vertical="center"/>
    </xf>
    <xf numFmtId="0" fontId="23" fillId="24" borderId="10" xfId="0" applyFont="1" applyFill="1" applyBorder="1" applyAlignment="1">
      <alignment horizontal="left" vertical="center" wrapText="1"/>
    </xf>
    <xf numFmtId="0" fontId="23" fillId="24" borderId="0" xfId="0" applyFont="1" applyFill="1" applyBorder="1" applyAlignment="1">
      <alignment horizontal="left" vertical="center" wrapText="1"/>
    </xf>
    <xf numFmtId="0" fontId="23" fillId="24" borderId="0" xfId="0" applyFont="1" applyFill="1" applyBorder="1" applyAlignment="1">
      <alignment horizontal="center" vertical="center"/>
    </xf>
    <xf numFmtId="2" fontId="0" fillId="24" borderId="20" xfId="0" applyNumberFormat="1" applyFont="1" applyFill="1" applyBorder="1" applyAlignment="1">
      <alignment horizontal="center" vertical="center" wrapText="1"/>
    </xf>
    <xf numFmtId="0" fontId="23" fillId="0" borderId="27" xfId="0" applyFont="1" applyFill="1" applyBorder="1" applyAlignment="1">
      <alignment horizontal="left" vertical="center" wrapText="1"/>
    </xf>
    <xf numFmtId="0" fontId="23" fillId="0" borderId="28" xfId="0" applyFont="1" applyFill="1" applyBorder="1" applyAlignment="1">
      <alignment horizontal="center" vertical="center" wrapText="1"/>
    </xf>
    <xf numFmtId="2" fontId="23" fillId="0" borderId="28" xfId="0" applyNumberFormat="1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center" vertical="center" wrapText="1"/>
    </xf>
    <xf numFmtId="2" fontId="23" fillId="0" borderId="14" xfId="0" applyNumberFormat="1" applyFont="1" applyFill="1" applyBorder="1" applyAlignment="1">
      <alignment horizontal="center" vertical="center" wrapText="1"/>
    </xf>
    <xf numFmtId="2" fontId="18" fillId="0" borderId="0" xfId="0" applyNumberFormat="1" applyFont="1" applyFill="1" applyAlignment="1">
      <alignment horizontal="center" vertical="center" wrapText="1"/>
    </xf>
    <xf numFmtId="2" fontId="0" fillId="0" borderId="0" xfId="0" applyNumberFormat="1" applyFill="1" applyAlignment="1">
      <alignment/>
    </xf>
    <xf numFmtId="2" fontId="2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 horizontal="center" vertical="center" wrapText="1"/>
    </xf>
    <xf numFmtId="2" fontId="18" fillId="24" borderId="0" xfId="0" applyNumberFormat="1" applyFont="1" applyFill="1" applyAlignment="1">
      <alignment horizontal="center" vertical="center" wrapText="1"/>
    </xf>
    <xf numFmtId="2" fontId="23" fillId="0" borderId="0" xfId="0" applyNumberFormat="1" applyFont="1" applyFill="1" applyAlignment="1">
      <alignment horizontal="center" vertical="center" wrapText="1"/>
    </xf>
    <xf numFmtId="2" fontId="23" fillId="0" borderId="0" xfId="0" applyNumberFormat="1" applyFont="1" applyFill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2" fontId="19" fillId="0" borderId="0" xfId="0" applyNumberFormat="1" applyFont="1" applyFill="1" applyAlignment="1">
      <alignment/>
    </xf>
    <xf numFmtId="0" fontId="0" fillId="0" borderId="18" xfId="0" applyFont="1" applyFill="1" applyBorder="1" applyAlignment="1">
      <alignment horizontal="center" vertical="center" wrapText="1"/>
    </xf>
    <xf numFmtId="2" fontId="18" fillId="25" borderId="0" xfId="0" applyNumberFormat="1" applyFont="1" applyFill="1" applyAlignment="1">
      <alignment horizontal="center" vertical="center" wrapText="1"/>
    </xf>
    <xf numFmtId="2" fontId="18" fillId="25" borderId="16" xfId="0" applyNumberFormat="1" applyFont="1" applyFill="1" applyBorder="1" applyAlignment="1">
      <alignment horizontal="center" vertical="center" wrapText="1"/>
    </xf>
    <xf numFmtId="2" fontId="18" fillId="25" borderId="29" xfId="0" applyNumberFormat="1" applyFont="1" applyFill="1" applyBorder="1" applyAlignment="1">
      <alignment horizontal="center" vertical="center" wrapText="1"/>
    </xf>
    <xf numFmtId="2" fontId="18" fillId="25" borderId="30" xfId="0" applyNumberFormat="1" applyFont="1" applyFill="1" applyBorder="1" applyAlignment="1">
      <alignment horizontal="center" vertical="center" wrapText="1"/>
    </xf>
    <xf numFmtId="2" fontId="25" fillId="25" borderId="16" xfId="0" applyNumberFormat="1" applyFont="1" applyFill="1" applyBorder="1" applyAlignment="1">
      <alignment horizontal="center" vertical="center" wrapText="1"/>
    </xf>
    <xf numFmtId="2" fontId="25" fillId="25" borderId="29" xfId="0" applyNumberFormat="1" applyFont="1" applyFill="1" applyBorder="1" applyAlignment="1">
      <alignment horizontal="center" vertical="center" wrapText="1"/>
    </xf>
    <xf numFmtId="2" fontId="25" fillId="25" borderId="30" xfId="0" applyNumberFormat="1" applyFont="1" applyFill="1" applyBorder="1" applyAlignment="1">
      <alignment horizontal="center" vertical="center" wrapText="1"/>
    </xf>
    <xf numFmtId="2" fontId="18" fillId="25" borderId="31" xfId="0" applyNumberFormat="1" applyFont="1" applyFill="1" applyBorder="1" applyAlignment="1">
      <alignment horizontal="center" vertical="center" wrapText="1"/>
    </xf>
    <xf numFmtId="2" fontId="18" fillId="25" borderId="18" xfId="0" applyNumberFormat="1" applyFont="1" applyFill="1" applyBorder="1" applyAlignment="1">
      <alignment horizontal="center" vertical="center" wrapText="1"/>
    </xf>
    <xf numFmtId="2" fontId="18" fillId="25" borderId="20" xfId="0" applyNumberFormat="1" applyFont="1" applyFill="1" applyBorder="1" applyAlignment="1">
      <alignment horizontal="center" vertical="center" wrapText="1"/>
    </xf>
    <xf numFmtId="2" fontId="18" fillId="25" borderId="32" xfId="0" applyNumberFormat="1" applyFont="1" applyFill="1" applyBorder="1" applyAlignment="1">
      <alignment horizontal="center" vertical="center" wrapText="1"/>
    </xf>
    <xf numFmtId="2" fontId="0" fillId="25" borderId="18" xfId="0" applyNumberFormat="1" applyFont="1" applyFill="1" applyBorder="1" applyAlignment="1">
      <alignment horizontal="center" vertical="center" wrapText="1"/>
    </xf>
    <xf numFmtId="2" fontId="0" fillId="25" borderId="33" xfId="0" applyNumberFormat="1" applyFont="1" applyFill="1" applyBorder="1" applyAlignment="1">
      <alignment horizontal="center" vertical="center" wrapText="1"/>
    </xf>
    <xf numFmtId="2" fontId="0" fillId="25" borderId="31" xfId="0" applyNumberFormat="1" applyFont="1" applyFill="1" applyBorder="1" applyAlignment="1">
      <alignment horizontal="center" vertical="center" wrapText="1"/>
    </xf>
    <xf numFmtId="2" fontId="0" fillId="25" borderId="16" xfId="0" applyNumberFormat="1" applyFont="1" applyFill="1" applyBorder="1" applyAlignment="1">
      <alignment horizontal="center" vertical="center" wrapText="1"/>
    </xf>
    <xf numFmtId="2" fontId="0" fillId="25" borderId="20" xfId="0" applyNumberFormat="1" applyFont="1" applyFill="1" applyBorder="1" applyAlignment="1">
      <alignment horizontal="center" vertical="center" wrapText="1"/>
    </xf>
    <xf numFmtId="2" fontId="0" fillId="25" borderId="32" xfId="0" applyNumberFormat="1" applyFont="1" applyFill="1" applyBorder="1" applyAlignment="1">
      <alignment horizontal="center" vertical="center" wrapText="1"/>
    </xf>
    <xf numFmtId="2" fontId="25" fillId="25" borderId="20" xfId="0" applyNumberFormat="1" applyFont="1" applyFill="1" applyBorder="1" applyAlignment="1">
      <alignment horizontal="center" vertical="center" wrapText="1"/>
    </xf>
    <xf numFmtId="2" fontId="25" fillId="25" borderId="32" xfId="0" applyNumberFormat="1" applyFont="1" applyFill="1" applyBorder="1" applyAlignment="1">
      <alignment horizontal="center" vertical="center" wrapText="1"/>
    </xf>
    <xf numFmtId="2" fontId="18" fillId="25" borderId="33" xfId="0" applyNumberFormat="1" applyFont="1" applyFill="1" applyBorder="1" applyAlignment="1">
      <alignment horizontal="center" vertical="center" wrapText="1"/>
    </xf>
    <xf numFmtId="2" fontId="23" fillId="25" borderId="34" xfId="0" applyNumberFormat="1" applyFont="1" applyFill="1" applyBorder="1" applyAlignment="1">
      <alignment horizontal="center"/>
    </xf>
    <xf numFmtId="0" fontId="18" fillId="25" borderId="11" xfId="0" applyFont="1" applyFill="1" applyBorder="1" applyAlignment="1">
      <alignment horizontal="center" vertical="center"/>
    </xf>
    <xf numFmtId="0" fontId="18" fillId="25" borderId="35" xfId="0" applyFont="1" applyFill="1" applyBorder="1" applyAlignment="1">
      <alignment horizontal="center" vertical="center"/>
    </xf>
    <xf numFmtId="0" fontId="18" fillId="25" borderId="12" xfId="0" applyFont="1" applyFill="1" applyBorder="1" applyAlignment="1">
      <alignment horizontal="center" vertical="center"/>
    </xf>
    <xf numFmtId="0" fontId="0" fillId="25" borderId="0" xfId="0" applyFill="1" applyAlignment="1">
      <alignment horizontal="center" vertical="center"/>
    </xf>
    <xf numFmtId="2" fontId="23" fillId="25" borderId="14" xfId="0" applyNumberFormat="1" applyFont="1" applyFill="1" applyBorder="1" applyAlignment="1">
      <alignment horizontal="center" vertical="center" wrapText="1"/>
    </xf>
    <xf numFmtId="0" fontId="20" fillId="26" borderId="0" xfId="0" applyFont="1" applyFill="1" applyAlignment="1">
      <alignment horizontal="center"/>
    </xf>
    <xf numFmtId="0" fontId="18" fillId="0" borderId="11" xfId="0" applyFont="1" applyFill="1" applyBorder="1" applyAlignment="1">
      <alignment horizontal="center" vertical="center"/>
    </xf>
    <xf numFmtId="2" fontId="0" fillId="26" borderId="36" xfId="0" applyNumberFormat="1" applyFont="1" applyFill="1" applyBorder="1" applyAlignment="1">
      <alignment horizontal="center" vertical="center" wrapText="1"/>
    </xf>
    <xf numFmtId="2" fontId="0" fillId="26" borderId="18" xfId="0" applyNumberFormat="1" applyFont="1" applyFill="1" applyBorder="1" applyAlignment="1">
      <alignment horizontal="center" vertical="center" wrapText="1"/>
    </xf>
    <xf numFmtId="2" fontId="18" fillId="26" borderId="29" xfId="0" applyNumberFormat="1" applyFont="1" applyFill="1" applyBorder="1" applyAlignment="1">
      <alignment horizontal="center" vertical="center" wrapText="1"/>
    </xf>
    <xf numFmtId="2" fontId="18" fillId="26" borderId="16" xfId="0" applyNumberFormat="1" applyFont="1" applyFill="1" applyBorder="1" applyAlignment="1">
      <alignment horizontal="center" vertical="center" wrapText="1"/>
    </xf>
    <xf numFmtId="2" fontId="18" fillId="26" borderId="30" xfId="0" applyNumberFormat="1" applyFont="1" applyFill="1" applyBorder="1" applyAlignment="1">
      <alignment horizontal="center" vertical="center" wrapText="1"/>
    </xf>
    <xf numFmtId="2" fontId="18" fillId="26" borderId="31" xfId="0" applyNumberFormat="1" applyFont="1" applyFill="1" applyBorder="1" applyAlignment="1">
      <alignment horizontal="center" vertical="center" wrapText="1"/>
    </xf>
    <xf numFmtId="2" fontId="18" fillId="26" borderId="18" xfId="0" applyNumberFormat="1" applyFont="1" applyFill="1" applyBorder="1" applyAlignment="1">
      <alignment horizontal="center" vertical="center" wrapText="1"/>
    </xf>
    <xf numFmtId="2" fontId="18" fillId="26" borderId="20" xfId="0" applyNumberFormat="1" applyFont="1" applyFill="1" applyBorder="1" applyAlignment="1">
      <alignment horizontal="center" vertical="center" wrapText="1"/>
    </xf>
    <xf numFmtId="2" fontId="18" fillId="26" borderId="32" xfId="0" applyNumberFormat="1" applyFont="1" applyFill="1" applyBorder="1" applyAlignment="1">
      <alignment horizontal="center" vertical="center" wrapText="1"/>
    </xf>
    <xf numFmtId="2" fontId="0" fillId="26" borderId="33" xfId="0" applyNumberFormat="1" applyFont="1" applyFill="1" applyBorder="1" applyAlignment="1">
      <alignment horizontal="center" vertical="center" wrapText="1"/>
    </xf>
    <xf numFmtId="2" fontId="0" fillId="26" borderId="29" xfId="0" applyNumberFormat="1" applyFont="1" applyFill="1" applyBorder="1" applyAlignment="1">
      <alignment horizontal="center" vertical="center" wrapText="1"/>
    </xf>
    <xf numFmtId="0" fontId="18" fillId="25" borderId="0" xfId="0" applyFont="1" applyFill="1" applyAlignment="1">
      <alignment horizontal="center" vertical="center" wrapText="1"/>
    </xf>
    <xf numFmtId="2" fontId="0" fillId="25" borderId="36" xfId="0" applyNumberFormat="1" applyFont="1" applyFill="1" applyBorder="1" applyAlignment="1">
      <alignment horizontal="center" vertical="center" wrapText="1"/>
    </xf>
    <xf numFmtId="0" fontId="0" fillId="25" borderId="18" xfId="0" applyFont="1" applyFill="1" applyBorder="1" applyAlignment="1">
      <alignment horizontal="center" vertical="center" wrapText="1"/>
    </xf>
    <xf numFmtId="2" fontId="0" fillId="25" borderId="36" xfId="0" applyNumberFormat="1" applyFont="1" applyFill="1" applyBorder="1" applyAlignment="1">
      <alignment horizontal="center" vertical="center" wrapText="1"/>
    </xf>
    <xf numFmtId="2" fontId="0" fillId="25" borderId="29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wrapText="1"/>
    </xf>
    <xf numFmtId="0" fontId="0" fillId="0" borderId="0" xfId="0" applyAlignment="1">
      <alignment/>
    </xf>
    <xf numFmtId="2" fontId="21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19" fillId="0" borderId="37" xfId="0" applyNumberFormat="1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19" fillId="0" borderId="38" xfId="0" applyFont="1" applyFill="1" applyBorder="1" applyAlignment="1">
      <alignment horizontal="center" vertical="center" wrapText="1"/>
    </xf>
    <xf numFmtId="0" fontId="19" fillId="0" borderId="39" xfId="0" applyFont="1" applyFill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21" fillId="0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right" vertical="center"/>
    </xf>
    <xf numFmtId="0" fontId="0" fillId="0" borderId="0" xfId="0" applyAlignment="1">
      <alignment horizontal="right"/>
    </xf>
    <xf numFmtId="0" fontId="18" fillId="0" borderId="0" xfId="0" applyFont="1" applyFill="1" applyAlignment="1">
      <alignment horizontal="right"/>
    </xf>
    <xf numFmtId="0" fontId="26" fillId="0" borderId="0" xfId="0" applyFont="1" applyFill="1" applyAlignment="1">
      <alignment horizontal="center"/>
    </xf>
    <xf numFmtId="0" fontId="26" fillId="0" borderId="0" xfId="0" applyFont="1" applyAlignment="1">
      <alignment horizontal="center"/>
    </xf>
    <xf numFmtId="0" fontId="20" fillId="25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5"/>
  <sheetViews>
    <sheetView zoomScale="75" zoomScaleNormal="75" zoomScalePageLayoutView="0" workbookViewId="0" topLeftCell="A107">
      <selection activeCell="L138" sqref="L138"/>
    </sheetView>
  </sheetViews>
  <sheetFormatPr defaultColWidth="9.00390625" defaultRowHeight="12.75"/>
  <cols>
    <col min="1" max="1" width="72.75390625" style="1" customWidth="1"/>
    <col min="2" max="2" width="19.125" style="1" customWidth="1"/>
    <col min="3" max="3" width="13.875" style="1" hidden="1" customWidth="1"/>
    <col min="4" max="4" width="16.125" style="1" customWidth="1"/>
    <col min="5" max="5" width="13.875" style="1" hidden="1" customWidth="1"/>
    <col min="6" max="6" width="20.875" style="34" hidden="1" customWidth="1"/>
    <col min="7" max="7" width="13.875" style="1" customWidth="1"/>
    <col min="8" max="8" width="20.875" style="34" customWidth="1"/>
    <col min="9" max="9" width="15.375" style="1" customWidth="1"/>
    <col min="10" max="10" width="15.375" style="1" hidden="1" customWidth="1"/>
    <col min="11" max="11" width="15.375" style="76" hidden="1" customWidth="1"/>
    <col min="12" max="14" width="15.375" style="1" customWidth="1"/>
    <col min="15" max="16384" width="9.125" style="1" customWidth="1"/>
  </cols>
  <sheetData>
    <row r="1" spans="1:8" ht="16.5" customHeight="1">
      <c r="A1" s="140" t="s">
        <v>0</v>
      </c>
      <c r="B1" s="141"/>
      <c r="C1" s="141"/>
      <c r="D1" s="141"/>
      <c r="E1" s="141"/>
      <c r="F1" s="141"/>
      <c r="G1" s="141"/>
      <c r="H1" s="141"/>
    </row>
    <row r="2" spans="2:8" ht="12.75" customHeight="1">
      <c r="B2" s="142" t="s">
        <v>1</v>
      </c>
      <c r="C2" s="142"/>
      <c r="D2" s="142"/>
      <c r="E2" s="142"/>
      <c r="F2" s="142"/>
      <c r="G2" s="141"/>
      <c r="H2" s="141"/>
    </row>
    <row r="3" spans="1:8" ht="22.5" customHeight="1">
      <c r="A3" s="111" t="s">
        <v>129</v>
      </c>
      <c r="B3" s="142" t="s">
        <v>2</v>
      </c>
      <c r="C3" s="142"/>
      <c r="D3" s="142"/>
      <c r="E3" s="142"/>
      <c r="F3" s="142"/>
      <c r="G3" s="141"/>
      <c r="H3" s="141"/>
    </row>
    <row r="4" spans="2:8" ht="14.25" customHeight="1">
      <c r="B4" s="142" t="s">
        <v>35</v>
      </c>
      <c r="C4" s="142"/>
      <c r="D4" s="142"/>
      <c r="E4" s="142"/>
      <c r="F4" s="142"/>
      <c r="G4" s="141"/>
      <c r="H4" s="141"/>
    </row>
    <row r="5" spans="1:11" ht="39.75" customHeight="1">
      <c r="A5" s="143" t="s">
        <v>101</v>
      </c>
      <c r="B5" s="144"/>
      <c r="C5" s="144"/>
      <c r="D5" s="144"/>
      <c r="E5" s="144"/>
      <c r="F5" s="144"/>
      <c r="G5" s="144"/>
      <c r="H5" s="144"/>
      <c r="K5" s="1"/>
    </row>
    <row r="6" spans="1:11" ht="26.25" customHeight="1">
      <c r="A6" s="145" t="s">
        <v>134</v>
      </c>
      <c r="B6" s="145"/>
      <c r="C6" s="145"/>
      <c r="D6" s="145"/>
      <c r="E6" s="145"/>
      <c r="F6" s="145"/>
      <c r="G6" s="145"/>
      <c r="H6" s="145"/>
      <c r="K6" s="1"/>
    </row>
    <row r="7" spans="2:9" ht="35.25" customHeight="1" hidden="1">
      <c r="B7" s="2"/>
      <c r="C7" s="2"/>
      <c r="D7" s="2"/>
      <c r="E7" s="2"/>
      <c r="F7" s="3"/>
      <c r="G7" s="2"/>
      <c r="H7" s="2"/>
      <c r="I7" s="2"/>
    </row>
    <row r="8" spans="1:11" s="4" customFormat="1" ht="22.5" customHeight="1">
      <c r="A8" s="129" t="s">
        <v>3</v>
      </c>
      <c r="B8" s="129"/>
      <c r="C8" s="129"/>
      <c r="D8" s="129"/>
      <c r="E8" s="130"/>
      <c r="F8" s="130"/>
      <c r="G8" s="130"/>
      <c r="H8" s="130"/>
      <c r="K8" s="77"/>
    </row>
    <row r="9" spans="1:8" s="5" customFormat="1" ht="18.75" customHeight="1">
      <c r="A9" s="129" t="s">
        <v>81</v>
      </c>
      <c r="B9" s="129"/>
      <c r="C9" s="129"/>
      <c r="D9" s="129"/>
      <c r="E9" s="130"/>
      <c r="F9" s="130"/>
      <c r="G9" s="130"/>
      <c r="H9" s="130"/>
    </row>
    <row r="10" spans="1:8" s="6" customFormat="1" ht="17.25" customHeight="1">
      <c r="A10" s="131" t="s">
        <v>76</v>
      </c>
      <c r="B10" s="131"/>
      <c r="C10" s="131"/>
      <c r="D10" s="131"/>
      <c r="E10" s="132"/>
      <c r="F10" s="132"/>
      <c r="G10" s="132"/>
      <c r="H10" s="132"/>
    </row>
    <row r="11" spans="1:8" s="5" customFormat="1" ht="30" customHeight="1" thickBot="1">
      <c r="A11" s="133" t="s">
        <v>82</v>
      </c>
      <c r="B11" s="133"/>
      <c r="C11" s="133"/>
      <c r="D11" s="133"/>
      <c r="E11" s="134"/>
      <c r="F11" s="134"/>
      <c r="G11" s="134"/>
      <c r="H11" s="134"/>
    </row>
    <row r="12" spans="1:11" s="11" customFormat="1" ht="139.5" customHeight="1" thickBot="1">
      <c r="A12" s="7" t="s">
        <v>4</v>
      </c>
      <c r="B12" s="8" t="s">
        <v>5</v>
      </c>
      <c r="C12" s="9" t="s">
        <v>6</v>
      </c>
      <c r="D12" s="9" t="s">
        <v>36</v>
      </c>
      <c r="E12" s="9" t="s">
        <v>6</v>
      </c>
      <c r="F12" s="10" t="s">
        <v>7</v>
      </c>
      <c r="G12" s="9" t="s">
        <v>6</v>
      </c>
      <c r="H12" s="10" t="s">
        <v>7</v>
      </c>
      <c r="K12" s="75"/>
    </row>
    <row r="13" spans="1:11" s="15" customFormat="1" ht="12.75">
      <c r="A13" s="12">
        <v>1</v>
      </c>
      <c r="B13" s="13">
        <v>2</v>
      </c>
      <c r="C13" s="13">
        <v>3</v>
      </c>
      <c r="D13" s="38"/>
      <c r="E13" s="13">
        <v>3</v>
      </c>
      <c r="F13" s="14">
        <v>4</v>
      </c>
      <c r="G13" s="39">
        <v>3</v>
      </c>
      <c r="H13" s="42">
        <v>4</v>
      </c>
      <c r="K13" s="78"/>
    </row>
    <row r="14" spans="1:11" s="15" customFormat="1" ht="49.5" customHeight="1">
      <c r="A14" s="135" t="s">
        <v>8</v>
      </c>
      <c r="B14" s="136"/>
      <c r="C14" s="136"/>
      <c r="D14" s="136"/>
      <c r="E14" s="136"/>
      <c r="F14" s="136"/>
      <c r="G14" s="137"/>
      <c r="H14" s="138"/>
      <c r="K14" s="78"/>
    </row>
    <row r="15" spans="1:11" s="11" customFormat="1" ht="15">
      <c r="A15" s="17" t="s">
        <v>131</v>
      </c>
      <c r="B15" s="21"/>
      <c r="C15" s="16">
        <f>F15*12</f>
        <v>0</v>
      </c>
      <c r="D15" s="115">
        <f>G15*I15</f>
        <v>161485.75199999998</v>
      </c>
      <c r="E15" s="116">
        <f>H15*12</f>
        <v>33.36</v>
      </c>
      <c r="F15" s="117"/>
      <c r="G15" s="116">
        <f>H15*12</f>
        <v>33.36</v>
      </c>
      <c r="H15" s="116">
        <v>2.78</v>
      </c>
      <c r="I15" s="11">
        <v>4840.7</v>
      </c>
      <c r="J15" s="11">
        <v>1.07</v>
      </c>
      <c r="K15" s="75">
        <v>2.2363</v>
      </c>
    </row>
    <row r="16" spans="1:11" s="11" customFormat="1" ht="29.25" customHeight="1">
      <c r="A16" s="50" t="s">
        <v>84</v>
      </c>
      <c r="B16" s="51" t="s">
        <v>85</v>
      </c>
      <c r="C16" s="52"/>
      <c r="D16" s="90"/>
      <c r="E16" s="89"/>
      <c r="F16" s="91"/>
      <c r="G16" s="89"/>
      <c r="H16" s="89"/>
      <c r="K16" s="75"/>
    </row>
    <row r="17" spans="1:11" s="11" customFormat="1" ht="15">
      <c r="A17" s="50" t="s">
        <v>86</v>
      </c>
      <c r="B17" s="51" t="s">
        <v>85</v>
      </c>
      <c r="C17" s="52"/>
      <c r="D17" s="90"/>
      <c r="E17" s="89"/>
      <c r="F17" s="91"/>
      <c r="G17" s="89"/>
      <c r="H17" s="89"/>
      <c r="K17" s="75"/>
    </row>
    <row r="18" spans="1:11" s="11" customFormat="1" ht="15">
      <c r="A18" s="50" t="s">
        <v>87</v>
      </c>
      <c r="B18" s="51" t="s">
        <v>88</v>
      </c>
      <c r="C18" s="52"/>
      <c r="D18" s="90"/>
      <c r="E18" s="89"/>
      <c r="F18" s="91"/>
      <c r="G18" s="89"/>
      <c r="H18" s="89"/>
      <c r="K18" s="75"/>
    </row>
    <row r="19" spans="1:11" s="11" customFormat="1" ht="15">
      <c r="A19" s="50" t="s">
        <v>89</v>
      </c>
      <c r="B19" s="51" t="s">
        <v>85</v>
      </c>
      <c r="C19" s="52"/>
      <c r="D19" s="90"/>
      <c r="E19" s="89"/>
      <c r="F19" s="91"/>
      <c r="G19" s="89"/>
      <c r="H19" s="89"/>
      <c r="K19" s="75"/>
    </row>
    <row r="20" spans="1:11" s="11" customFormat="1" ht="15">
      <c r="A20" s="17" t="s">
        <v>130</v>
      </c>
      <c r="B20" s="18"/>
      <c r="C20" s="16"/>
      <c r="D20" s="87"/>
      <c r="E20" s="86"/>
      <c r="F20" s="88"/>
      <c r="G20" s="86"/>
      <c r="H20" s="86">
        <v>2.56</v>
      </c>
      <c r="K20" s="75"/>
    </row>
    <row r="21" spans="1:11" s="11" customFormat="1" ht="15">
      <c r="A21" s="50" t="s">
        <v>118</v>
      </c>
      <c r="B21" s="51" t="s">
        <v>85</v>
      </c>
      <c r="C21" s="52"/>
      <c r="D21" s="90"/>
      <c r="E21" s="89"/>
      <c r="F21" s="91"/>
      <c r="G21" s="89"/>
      <c r="H21" s="89"/>
      <c r="K21" s="75"/>
    </row>
    <row r="22" spans="1:11" s="11" customFormat="1" ht="15">
      <c r="A22" s="50" t="s">
        <v>119</v>
      </c>
      <c r="B22" s="51" t="s">
        <v>85</v>
      </c>
      <c r="C22" s="52"/>
      <c r="D22" s="90"/>
      <c r="E22" s="89"/>
      <c r="F22" s="91"/>
      <c r="G22" s="89"/>
      <c r="H22" s="89"/>
      <c r="K22" s="75"/>
    </row>
    <row r="23" spans="1:11" s="11" customFormat="1" ht="15">
      <c r="A23" s="17" t="s">
        <v>130</v>
      </c>
      <c r="B23" s="18"/>
      <c r="C23" s="16"/>
      <c r="D23" s="87"/>
      <c r="E23" s="86"/>
      <c r="F23" s="88"/>
      <c r="G23" s="86"/>
      <c r="H23" s="86">
        <v>0.22</v>
      </c>
      <c r="K23" s="75"/>
    </row>
    <row r="24" spans="1:11" s="11" customFormat="1" ht="30">
      <c r="A24" s="17" t="s">
        <v>10</v>
      </c>
      <c r="B24" s="18"/>
      <c r="C24" s="16">
        <f>F24*12</f>
        <v>0</v>
      </c>
      <c r="D24" s="115">
        <f>G24*I24</f>
        <v>117401.24399999999</v>
      </c>
      <c r="E24" s="116">
        <f>H24*12</f>
        <v>27.96</v>
      </c>
      <c r="F24" s="117"/>
      <c r="G24" s="116">
        <f>H24*12</f>
        <v>27.96</v>
      </c>
      <c r="H24" s="116">
        <v>2.33</v>
      </c>
      <c r="I24" s="11">
        <v>4198.9</v>
      </c>
      <c r="J24" s="11">
        <v>1.07</v>
      </c>
      <c r="K24" s="75">
        <v>2.0437</v>
      </c>
    </row>
    <row r="25" spans="1:11" s="56" customFormat="1" ht="15">
      <c r="A25" s="53" t="s">
        <v>90</v>
      </c>
      <c r="B25" s="54" t="s">
        <v>11</v>
      </c>
      <c r="C25" s="55"/>
      <c r="D25" s="87"/>
      <c r="E25" s="86"/>
      <c r="F25" s="88"/>
      <c r="G25" s="86"/>
      <c r="H25" s="86"/>
      <c r="K25" s="79"/>
    </row>
    <row r="26" spans="1:11" s="56" customFormat="1" ht="15">
      <c r="A26" s="53" t="s">
        <v>91</v>
      </c>
      <c r="B26" s="54" t="s">
        <v>11</v>
      </c>
      <c r="C26" s="55"/>
      <c r="D26" s="87"/>
      <c r="E26" s="86"/>
      <c r="F26" s="88"/>
      <c r="G26" s="86"/>
      <c r="H26" s="86"/>
      <c r="K26" s="79"/>
    </row>
    <row r="27" spans="1:11" s="56" customFormat="1" ht="15">
      <c r="A27" s="53" t="s">
        <v>92</v>
      </c>
      <c r="B27" s="54" t="s">
        <v>11</v>
      </c>
      <c r="C27" s="55"/>
      <c r="D27" s="87"/>
      <c r="E27" s="86"/>
      <c r="F27" s="88"/>
      <c r="G27" s="86"/>
      <c r="H27" s="86"/>
      <c r="K27" s="79"/>
    </row>
    <row r="28" spans="1:11" s="56" customFormat="1" ht="25.5">
      <c r="A28" s="53" t="s">
        <v>93</v>
      </c>
      <c r="B28" s="54" t="s">
        <v>12</v>
      </c>
      <c r="C28" s="55"/>
      <c r="D28" s="87"/>
      <c r="E28" s="86"/>
      <c r="F28" s="88"/>
      <c r="G28" s="86"/>
      <c r="H28" s="86"/>
      <c r="K28" s="79"/>
    </row>
    <row r="29" spans="1:11" s="56" customFormat="1" ht="15">
      <c r="A29" s="53" t="s">
        <v>94</v>
      </c>
      <c r="B29" s="54" t="s">
        <v>11</v>
      </c>
      <c r="C29" s="55"/>
      <c r="D29" s="87"/>
      <c r="E29" s="86"/>
      <c r="F29" s="88"/>
      <c r="G29" s="86"/>
      <c r="H29" s="86"/>
      <c r="K29" s="79"/>
    </row>
    <row r="30" spans="1:11" s="11" customFormat="1" ht="15">
      <c r="A30" s="57" t="s">
        <v>95</v>
      </c>
      <c r="B30" s="58" t="s">
        <v>11</v>
      </c>
      <c r="C30" s="16"/>
      <c r="D30" s="87"/>
      <c r="E30" s="86"/>
      <c r="F30" s="88"/>
      <c r="G30" s="86"/>
      <c r="H30" s="86"/>
      <c r="K30" s="75"/>
    </row>
    <row r="31" spans="1:11" s="56" customFormat="1" ht="26.25" thickBot="1">
      <c r="A31" s="59" t="s">
        <v>96</v>
      </c>
      <c r="B31" s="60" t="s">
        <v>97</v>
      </c>
      <c r="C31" s="55"/>
      <c r="D31" s="87"/>
      <c r="E31" s="86"/>
      <c r="F31" s="88"/>
      <c r="G31" s="86"/>
      <c r="H31" s="86"/>
      <c r="K31" s="79"/>
    </row>
    <row r="32" spans="1:11" s="22" customFormat="1" ht="15">
      <c r="A32" s="20" t="s">
        <v>13</v>
      </c>
      <c r="B32" s="21" t="s">
        <v>14</v>
      </c>
      <c r="C32" s="16">
        <f>F32*12</f>
        <v>0</v>
      </c>
      <c r="D32" s="115">
        <f>G32*I32</f>
        <v>39500.112</v>
      </c>
      <c r="E32" s="116">
        <f>H32*12</f>
        <v>8.16</v>
      </c>
      <c r="F32" s="118"/>
      <c r="G32" s="116">
        <f>H32*12</f>
        <v>8.16</v>
      </c>
      <c r="H32" s="116">
        <v>0.68</v>
      </c>
      <c r="I32" s="11">
        <v>4840.7</v>
      </c>
      <c r="J32" s="11">
        <v>1.07</v>
      </c>
      <c r="K32" s="75">
        <v>0.5992000000000001</v>
      </c>
    </row>
    <row r="33" spans="1:11" s="11" customFormat="1" ht="15">
      <c r="A33" s="20" t="s">
        <v>15</v>
      </c>
      <c r="B33" s="21" t="s">
        <v>16</v>
      </c>
      <c r="C33" s="16">
        <f>F33*12</f>
        <v>0</v>
      </c>
      <c r="D33" s="115">
        <f>G33*I33</f>
        <v>128956.24799999999</v>
      </c>
      <c r="E33" s="116">
        <f>H33*12</f>
        <v>26.64</v>
      </c>
      <c r="F33" s="118"/>
      <c r="G33" s="116">
        <f>H33*12</f>
        <v>26.64</v>
      </c>
      <c r="H33" s="116">
        <v>2.22</v>
      </c>
      <c r="I33" s="11">
        <v>4840.7</v>
      </c>
      <c r="J33" s="11">
        <v>1.07</v>
      </c>
      <c r="K33" s="75">
        <v>1.9367</v>
      </c>
    </row>
    <row r="34" spans="1:11" s="15" customFormat="1" ht="30">
      <c r="A34" s="20" t="s">
        <v>51</v>
      </c>
      <c r="B34" s="21" t="s">
        <v>9</v>
      </c>
      <c r="C34" s="23"/>
      <c r="D34" s="115">
        <v>1848.15</v>
      </c>
      <c r="E34" s="119">
        <f>H34*12</f>
        <v>0.38179395541967076</v>
      </c>
      <c r="F34" s="118"/>
      <c r="G34" s="116">
        <f aca="true" t="shared" si="0" ref="G34:G40">D34/I34</f>
        <v>0.38179395541967076</v>
      </c>
      <c r="H34" s="116">
        <f aca="true" t="shared" si="1" ref="H34:H40">G34/12</f>
        <v>0.03181616295163923</v>
      </c>
      <c r="I34" s="11">
        <v>4840.7</v>
      </c>
      <c r="J34" s="11">
        <v>1.07</v>
      </c>
      <c r="K34" s="75">
        <v>0.032100000000000004</v>
      </c>
    </row>
    <row r="35" spans="1:11" s="15" customFormat="1" ht="30">
      <c r="A35" s="20" t="s">
        <v>75</v>
      </c>
      <c r="B35" s="21" t="s">
        <v>9</v>
      </c>
      <c r="C35" s="23"/>
      <c r="D35" s="115">
        <v>1848.15</v>
      </c>
      <c r="E35" s="119">
        <f>H35*12</f>
        <v>0.440150991926457</v>
      </c>
      <c r="F35" s="118"/>
      <c r="G35" s="116">
        <f t="shared" si="0"/>
        <v>0.440150991926457</v>
      </c>
      <c r="H35" s="116">
        <f t="shared" si="1"/>
        <v>0.03667924932720475</v>
      </c>
      <c r="I35" s="11">
        <v>4198.9</v>
      </c>
      <c r="J35" s="11">
        <v>1.07</v>
      </c>
      <c r="K35" s="75">
        <v>0.032100000000000004</v>
      </c>
    </row>
    <row r="36" spans="1:11" s="15" customFormat="1" ht="17.25" customHeight="1">
      <c r="A36" s="20" t="s">
        <v>79</v>
      </c>
      <c r="B36" s="21" t="s">
        <v>9</v>
      </c>
      <c r="C36" s="23"/>
      <c r="D36" s="115">
        <v>11670.68</v>
      </c>
      <c r="E36" s="119">
        <f>H36*12</f>
        <v>2.410948829714711</v>
      </c>
      <c r="F36" s="118"/>
      <c r="G36" s="116">
        <f t="shared" si="0"/>
        <v>2.410948829714711</v>
      </c>
      <c r="H36" s="116">
        <f t="shared" si="1"/>
        <v>0.2009124024762259</v>
      </c>
      <c r="I36" s="11">
        <v>4840.7</v>
      </c>
      <c r="J36" s="11">
        <v>1.07</v>
      </c>
      <c r="K36" s="75">
        <v>0.17120000000000002</v>
      </c>
    </row>
    <row r="37" spans="1:11" s="15" customFormat="1" ht="30" hidden="1">
      <c r="A37" s="20" t="s">
        <v>52</v>
      </c>
      <c r="B37" s="21" t="s">
        <v>12</v>
      </c>
      <c r="C37" s="23"/>
      <c r="D37" s="87">
        <f>G37*I37</f>
        <v>0</v>
      </c>
      <c r="E37" s="93"/>
      <c r="F37" s="92"/>
      <c r="G37" s="116">
        <f t="shared" si="0"/>
        <v>2.410948829714711</v>
      </c>
      <c r="H37" s="116">
        <f t="shared" si="1"/>
        <v>0.2009124024762259</v>
      </c>
      <c r="I37" s="11">
        <v>4198.9</v>
      </c>
      <c r="J37" s="11">
        <v>1.07</v>
      </c>
      <c r="K37" s="75">
        <v>0</v>
      </c>
    </row>
    <row r="38" spans="1:11" s="15" customFormat="1" ht="30" hidden="1">
      <c r="A38" s="20" t="s">
        <v>53</v>
      </c>
      <c r="B38" s="21" t="s">
        <v>12</v>
      </c>
      <c r="C38" s="23"/>
      <c r="D38" s="87">
        <f>G38*I38</f>
        <v>0</v>
      </c>
      <c r="E38" s="93"/>
      <c r="F38" s="92"/>
      <c r="G38" s="116">
        <f t="shared" si="0"/>
        <v>2.410948829714711</v>
      </c>
      <c r="H38" s="116">
        <f t="shared" si="1"/>
        <v>0.2009124024762259</v>
      </c>
      <c r="I38" s="11">
        <v>4198.9</v>
      </c>
      <c r="J38" s="11">
        <v>1.07</v>
      </c>
      <c r="K38" s="75">
        <v>0</v>
      </c>
    </row>
    <row r="39" spans="1:11" s="15" customFormat="1" ht="30">
      <c r="A39" s="20" t="s">
        <v>120</v>
      </c>
      <c r="B39" s="21" t="s">
        <v>12</v>
      </c>
      <c r="C39" s="23"/>
      <c r="D39" s="115">
        <v>3305.23</v>
      </c>
      <c r="E39" s="93"/>
      <c r="F39" s="92"/>
      <c r="G39" s="116">
        <f t="shared" si="0"/>
        <v>0.6828000082632677</v>
      </c>
      <c r="H39" s="116">
        <f t="shared" si="1"/>
        <v>0.056900000688605644</v>
      </c>
      <c r="I39" s="11">
        <v>4840.7</v>
      </c>
      <c r="J39" s="11"/>
      <c r="K39" s="75"/>
    </row>
    <row r="40" spans="1:11" s="15" customFormat="1" ht="30">
      <c r="A40" s="20" t="s">
        <v>53</v>
      </c>
      <c r="B40" s="21" t="s">
        <v>12</v>
      </c>
      <c r="C40" s="23"/>
      <c r="D40" s="115">
        <v>3305.23</v>
      </c>
      <c r="E40" s="93"/>
      <c r="F40" s="92"/>
      <c r="G40" s="116">
        <f t="shared" si="0"/>
        <v>0.7871656862511611</v>
      </c>
      <c r="H40" s="116">
        <f t="shared" si="1"/>
        <v>0.06559714052093009</v>
      </c>
      <c r="I40" s="11">
        <v>4198.9</v>
      </c>
      <c r="J40" s="11"/>
      <c r="K40" s="75"/>
    </row>
    <row r="41" spans="1:11" s="15" customFormat="1" ht="30">
      <c r="A41" s="20" t="s">
        <v>23</v>
      </c>
      <c r="B41" s="21"/>
      <c r="C41" s="23">
        <f>F41*12</f>
        <v>0</v>
      </c>
      <c r="D41" s="115">
        <f>G41*I41</f>
        <v>9573.492</v>
      </c>
      <c r="E41" s="119">
        <f>H41*12</f>
        <v>2.2800000000000002</v>
      </c>
      <c r="F41" s="118"/>
      <c r="G41" s="116">
        <f>H41*12</f>
        <v>2.2800000000000002</v>
      </c>
      <c r="H41" s="116">
        <v>0.19</v>
      </c>
      <c r="I41" s="11">
        <v>4198.9</v>
      </c>
      <c r="J41" s="11">
        <v>1.07</v>
      </c>
      <c r="K41" s="75">
        <v>0.1391</v>
      </c>
    </row>
    <row r="42" spans="1:11" s="11" customFormat="1" ht="15">
      <c r="A42" s="20" t="s">
        <v>25</v>
      </c>
      <c r="B42" s="21" t="s">
        <v>26</v>
      </c>
      <c r="C42" s="23">
        <f>F42*12</f>
        <v>0</v>
      </c>
      <c r="D42" s="115">
        <f>G42*I42</f>
        <v>2323.5359999999996</v>
      </c>
      <c r="E42" s="119">
        <f>H42*12</f>
        <v>0.48</v>
      </c>
      <c r="F42" s="118"/>
      <c r="G42" s="116">
        <f>H42*12</f>
        <v>0.48</v>
      </c>
      <c r="H42" s="116">
        <v>0.04</v>
      </c>
      <c r="I42" s="11">
        <v>4840.7</v>
      </c>
      <c r="J42" s="11">
        <v>1.07</v>
      </c>
      <c r="K42" s="75">
        <v>0.032100000000000004</v>
      </c>
    </row>
    <row r="43" spans="1:11" s="11" customFormat="1" ht="15">
      <c r="A43" s="20" t="s">
        <v>27</v>
      </c>
      <c r="B43" s="26" t="s">
        <v>28</v>
      </c>
      <c r="C43" s="27">
        <f>F43*12</f>
        <v>0</v>
      </c>
      <c r="D43" s="115">
        <f>G43*I43</f>
        <v>1742.6519999999998</v>
      </c>
      <c r="E43" s="120">
        <f>H43*12</f>
        <v>0.36</v>
      </c>
      <c r="F43" s="121"/>
      <c r="G43" s="116">
        <f>12*H43</f>
        <v>0.36</v>
      </c>
      <c r="H43" s="116">
        <v>0.03</v>
      </c>
      <c r="I43" s="11">
        <v>4840.7</v>
      </c>
      <c r="J43" s="11">
        <v>1.07</v>
      </c>
      <c r="K43" s="75">
        <v>0.021400000000000002</v>
      </c>
    </row>
    <row r="44" spans="1:11" s="22" customFormat="1" ht="30">
      <c r="A44" s="20" t="s">
        <v>24</v>
      </c>
      <c r="B44" s="21" t="s">
        <v>83</v>
      </c>
      <c r="C44" s="23">
        <f>F44*12</f>
        <v>0</v>
      </c>
      <c r="D44" s="115">
        <f>G44*I44</f>
        <v>2015.4719999999998</v>
      </c>
      <c r="E44" s="119">
        <f>H44*12</f>
        <v>0.48</v>
      </c>
      <c r="F44" s="118"/>
      <c r="G44" s="116">
        <f>12*H44</f>
        <v>0.48</v>
      </c>
      <c r="H44" s="116">
        <v>0.04</v>
      </c>
      <c r="I44" s="11">
        <v>4198.9</v>
      </c>
      <c r="J44" s="11">
        <v>1.07</v>
      </c>
      <c r="K44" s="75">
        <v>0.032100000000000004</v>
      </c>
    </row>
    <row r="45" spans="1:11" s="22" customFormat="1" ht="15">
      <c r="A45" s="20" t="s">
        <v>37</v>
      </c>
      <c r="B45" s="21"/>
      <c r="C45" s="16"/>
      <c r="D45" s="86">
        <f>D47+D48+D50+D51+D52+D53+D54+D55+D56+D57+D60+D49</f>
        <v>48481.64</v>
      </c>
      <c r="E45" s="86"/>
      <c r="F45" s="92"/>
      <c r="G45" s="86">
        <f>D45/I45</f>
        <v>11.546271642573055</v>
      </c>
      <c r="H45" s="86">
        <f>G45/12</f>
        <v>0.9621893035477546</v>
      </c>
      <c r="I45" s="11">
        <v>4198.9</v>
      </c>
      <c r="J45" s="11">
        <v>1.07</v>
      </c>
      <c r="K45" s="75">
        <v>0.7501801539292039</v>
      </c>
    </row>
    <row r="46" spans="1:11" s="15" customFormat="1" ht="15" hidden="1">
      <c r="A46" s="24" t="s">
        <v>62</v>
      </c>
      <c r="B46" s="19" t="s">
        <v>17</v>
      </c>
      <c r="C46" s="25"/>
      <c r="D46" s="97">
        <f>G46*I46</f>
        <v>0</v>
      </c>
      <c r="E46" s="96"/>
      <c r="F46" s="98"/>
      <c r="G46" s="96">
        <f>H46*12</f>
        <v>0</v>
      </c>
      <c r="H46" s="96">
        <v>0</v>
      </c>
      <c r="I46" s="11">
        <v>4198.9</v>
      </c>
      <c r="J46" s="11">
        <v>1.07</v>
      </c>
      <c r="K46" s="75">
        <v>0</v>
      </c>
    </row>
    <row r="47" spans="1:11" s="15" customFormat="1" ht="15">
      <c r="A47" s="24" t="s">
        <v>47</v>
      </c>
      <c r="B47" s="19" t="s">
        <v>17</v>
      </c>
      <c r="C47" s="25"/>
      <c r="D47" s="122">
        <v>392.99</v>
      </c>
      <c r="E47" s="96"/>
      <c r="F47" s="98"/>
      <c r="G47" s="96"/>
      <c r="H47" s="96"/>
      <c r="I47" s="11">
        <v>4198.9</v>
      </c>
      <c r="J47" s="11">
        <v>1.07</v>
      </c>
      <c r="K47" s="75">
        <v>0.010700000000000001</v>
      </c>
    </row>
    <row r="48" spans="1:11" s="15" customFormat="1" ht="15">
      <c r="A48" s="24" t="s">
        <v>18</v>
      </c>
      <c r="B48" s="19" t="s">
        <v>22</v>
      </c>
      <c r="C48" s="25">
        <f>F48*12</f>
        <v>0</v>
      </c>
      <c r="D48" s="122">
        <v>1247.46</v>
      </c>
      <c r="E48" s="96">
        <f>H48*12</f>
        <v>0</v>
      </c>
      <c r="F48" s="98"/>
      <c r="G48" s="96"/>
      <c r="H48" s="96"/>
      <c r="I48" s="11">
        <v>4840.7</v>
      </c>
      <c r="J48" s="11">
        <v>1.07</v>
      </c>
      <c r="K48" s="75">
        <v>0.021400000000000002</v>
      </c>
    </row>
    <row r="49" spans="1:11" s="15" customFormat="1" ht="15">
      <c r="A49" s="24" t="s">
        <v>121</v>
      </c>
      <c r="B49" s="84" t="s">
        <v>17</v>
      </c>
      <c r="C49" s="25"/>
      <c r="D49" s="122">
        <v>2222.82</v>
      </c>
      <c r="E49" s="96"/>
      <c r="F49" s="98"/>
      <c r="G49" s="96"/>
      <c r="H49" s="96"/>
      <c r="I49" s="11">
        <v>4198.9</v>
      </c>
      <c r="J49" s="11"/>
      <c r="K49" s="75"/>
    </row>
    <row r="50" spans="1:11" s="15" customFormat="1" ht="15">
      <c r="A50" s="24" t="s">
        <v>122</v>
      </c>
      <c r="B50" s="19" t="s">
        <v>17</v>
      </c>
      <c r="C50" s="25">
        <f>F50*12</f>
        <v>0</v>
      </c>
      <c r="D50" s="122">
        <v>7525.37</v>
      </c>
      <c r="E50" s="96">
        <f>H50*12</f>
        <v>0</v>
      </c>
      <c r="F50" s="98"/>
      <c r="G50" s="96"/>
      <c r="H50" s="96"/>
      <c r="I50" s="11">
        <v>4840.7</v>
      </c>
      <c r="J50" s="11">
        <v>1.07</v>
      </c>
      <c r="K50" s="75">
        <v>0.14980000000000002</v>
      </c>
    </row>
    <row r="51" spans="1:11" s="15" customFormat="1" ht="15">
      <c r="A51" s="24" t="s">
        <v>60</v>
      </c>
      <c r="B51" s="19" t="s">
        <v>17</v>
      </c>
      <c r="C51" s="25">
        <f>F51*12</f>
        <v>0</v>
      </c>
      <c r="D51" s="122">
        <v>2377.23</v>
      </c>
      <c r="E51" s="96">
        <f>H51*12</f>
        <v>0</v>
      </c>
      <c r="F51" s="98"/>
      <c r="G51" s="96"/>
      <c r="H51" s="96"/>
      <c r="I51" s="11">
        <v>4198.9</v>
      </c>
      <c r="J51" s="11">
        <v>1.07</v>
      </c>
      <c r="K51" s="75">
        <v>0.042800000000000005</v>
      </c>
    </row>
    <row r="52" spans="1:11" s="15" customFormat="1" ht="15">
      <c r="A52" s="24" t="s">
        <v>19</v>
      </c>
      <c r="B52" s="19" t="s">
        <v>17</v>
      </c>
      <c r="C52" s="25">
        <f>F52*12</f>
        <v>0</v>
      </c>
      <c r="D52" s="122">
        <v>7065.55</v>
      </c>
      <c r="E52" s="96">
        <f>H52*12</f>
        <v>0</v>
      </c>
      <c r="F52" s="98"/>
      <c r="G52" s="96"/>
      <c r="H52" s="96"/>
      <c r="I52" s="11">
        <v>4198.9</v>
      </c>
      <c r="J52" s="11">
        <v>1.07</v>
      </c>
      <c r="K52" s="75">
        <v>0.11770000000000001</v>
      </c>
    </row>
    <row r="53" spans="1:11" s="15" customFormat="1" ht="15">
      <c r="A53" s="24" t="s">
        <v>20</v>
      </c>
      <c r="B53" s="19" t="s">
        <v>17</v>
      </c>
      <c r="C53" s="25">
        <f>F53*12</f>
        <v>0</v>
      </c>
      <c r="D53" s="122">
        <v>831.63</v>
      </c>
      <c r="E53" s="96">
        <f>H53*12</f>
        <v>0</v>
      </c>
      <c r="F53" s="98"/>
      <c r="G53" s="96"/>
      <c r="H53" s="96"/>
      <c r="I53" s="11">
        <v>4198.9</v>
      </c>
      <c r="J53" s="11">
        <v>1.07</v>
      </c>
      <c r="K53" s="75">
        <v>0.010700000000000001</v>
      </c>
    </row>
    <row r="54" spans="1:11" s="15" customFormat="1" ht="15">
      <c r="A54" s="24" t="s">
        <v>56</v>
      </c>
      <c r="B54" s="19" t="s">
        <v>17</v>
      </c>
      <c r="C54" s="25"/>
      <c r="D54" s="122">
        <v>1188.57</v>
      </c>
      <c r="E54" s="96"/>
      <c r="F54" s="98"/>
      <c r="G54" s="96"/>
      <c r="H54" s="96"/>
      <c r="I54" s="11">
        <v>4840.7</v>
      </c>
      <c r="J54" s="11">
        <v>1.07</v>
      </c>
      <c r="K54" s="75">
        <v>0.021400000000000002</v>
      </c>
    </row>
    <row r="55" spans="1:11" s="15" customFormat="1" ht="15">
      <c r="A55" s="24" t="s">
        <v>57</v>
      </c>
      <c r="B55" s="19" t="s">
        <v>22</v>
      </c>
      <c r="C55" s="25"/>
      <c r="D55" s="122">
        <v>4754.46</v>
      </c>
      <c r="E55" s="96"/>
      <c r="F55" s="98"/>
      <c r="G55" s="96"/>
      <c r="H55" s="96"/>
      <c r="I55" s="11">
        <v>4198.9</v>
      </c>
      <c r="J55" s="11">
        <v>1.07</v>
      </c>
      <c r="K55" s="75">
        <v>0.08560000000000001</v>
      </c>
    </row>
    <row r="56" spans="1:11" s="15" customFormat="1" ht="25.5">
      <c r="A56" s="24" t="s">
        <v>21</v>
      </c>
      <c r="B56" s="19" t="s">
        <v>17</v>
      </c>
      <c r="C56" s="25">
        <f>F56*12</f>
        <v>0</v>
      </c>
      <c r="D56" s="122">
        <v>3244.28</v>
      </c>
      <c r="E56" s="96">
        <f>H56*12</f>
        <v>0</v>
      </c>
      <c r="F56" s="98"/>
      <c r="G56" s="96"/>
      <c r="H56" s="96"/>
      <c r="I56" s="11">
        <v>4840.7</v>
      </c>
      <c r="J56" s="11">
        <v>1.07</v>
      </c>
      <c r="K56" s="75">
        <v>0.053500000000000006</v>
      </c>
    </row>
    <row r="57" spans="1:11" s="15" customFormat="1" ht="15">
      <c r="A57" s="24" t="s">
        <v>104</v>
      </c>
      <c r="B57" s="19" t="s">
        <v>17</v>
      </c>
      <c r="C57" s="25"/>
      <c r="D57" s="122">
        <v>8173.64</v>
      </c>
      <c r="E57" s="96"/>
      <c r="F57" s="98"/>
      <c r="G57" s="96"/>
      <c r="H57" s="96"/>
      <c r="I57" s="11">
        <v>4198.9</v>
      </c>
      <c r="J57" s="11">
        <v>1.07</v>
      </c>
      <c r="K57" s="75">
        <v>0.010700000000000001</v>
      </c>
    </row>
    <row r="58" spans="1:11" s="15" customFormat="1" ht="15" hidden="1">
      <c r="A58" s="24" t="s">
        <v>63</v>
      </c>
      <c r="B58" s="19" t="s">
        <v>17</v>
      </c>
      <c r="C58" s="41"/>
      <c r="D58" s="97">
        <f>G58*I58</f>
        <v>0</v>
      </c>
      <c r="E58" s="99"/>
      <c r="F58" s="98"/>
      <c r="G58" s="96"/>
      <c r="H58" s="96"/>
      <c r="I58" s="11">
        <v>4198.9</v>
      </c>
      <c r="J58" s="11">
        <v>1.07</v>
      </c>
      <c r="K58" s="75">
        <v>0</v>
      </c>
    </row>
    <row r="59" spans="1:11" s="15" customFormat="1" ht="15" hidden="1">
      <c r="A59" s="40"/>
      <c r="B59" s="19"/>
      <c r="C59" s="25"/>
      <c r="D59" s="97"/>
      <c r="E59" s="96"/>
      <c r="F59" s="98"/>
      <c r="G59" s="96"/>
      <c r="H59" s="96"/>
      <c r="I59" s="11"/>
      <c r="J59" s="11"/>
      <c r="K59" s="75"/>
    </row>
    <row r="60" spans="1:11" s="15" customFormat="1" ht="25.5">
      <c r="A60" s="40" t="s">
        <v>105</v>
      </c>
      <c r="B60" s="84" t="s">
        <v>12</v>
      </c>
      <c r="C60" s="25"/>
      <c r="D60" s="122">
        <v>9457.64</v>
      </c>
      <c r="E60" s="96"/>
      <c r="F60" s="98"/>
      <c r="G60" s="96"/>
      <c r="H60" s="96"/>
      <c r="I60" s="11">
        <v>4198.9</v>
      </c>
      <c r="J60" s="11">
        <v>1.07</v>
      </c>
      <c r="K60" s="75">
        <v>0.0760801539292037</v>
      </c>
    </row>
    <row r="61" spans="1:11" s="22" customFormat="1" ht="30">
      <c r="A61" s="20" t="s">
        <v>43</v>
      </c>
      <c r="B61" s="21"/>
      <c r="C61" s="16"/>
      <c r="D61" s="86">
        <f>D62+D63+D64+D65+D66+D70+D71+D73+D74</f>
        <v>64521.75</v>
      </c>
      <c r="E61" s="86"/>
      <c r="F61" s="92"/>
      <c r="G61" s="86">
        <f>D61/I61</f>
        <v>15.36634594774822</v>
      </c>
      <c r="H61" s="86">
        <f>G61/12</f>
        <v>1.2805288289790184</v>
      </c>
      <c r="I61" s="11">
        <v>4198.9</v>
      </c>
      <c r="J61" s="11">
        <v>1.07</v>
      </c>
      <c r="K61" s="75">
        <v>0.6101064112029342</v>
      </c>
    </row>
    <row r="62" spans="1:11" s="15" customFormat="1" ht="15">
      <c r="A62" s="24" t="s">
        <v>38</v>
      </c>
      <c r="B62" s="19" t="s">
        <v>61</v>
      </c>
      <c r="C62" s="25"/>
      <c r="D62" s="122">
        <v>2377.23</v>
      </c>
      <c r="E62" s="96"/>
      <c r="F62" s="98"/>
      <c r="G62" s="96"/>
      <c r="H62" s="96"/>
      <c r="I62" s="11">
        <v>4198.9</v>
      </c>
      <c r="J62" s="11">
        <v>1.07</v>
      </c>
      <c r="K62" s="75">
        <v>0.042800000000000005</v>
      </c>
    </row>
    <row r="63" spans="1:11" s="15" customFormat="1" ht="25.5">
      <c r="A63" s="24" t="s">
        <v>39</v>
      </c>
      <c r="B63" s="84" t="s">
        <v>17</v>
      </c>
      <c r="C63" s="25"/>
      <c r="D63" s="122">
        <v>1584.82</v>
      </c>
      <c r="E63" s="96"/>
      <c r="F63" s="98"/>
      <c r="G63" s="96"/>
      <c r="H63" s="96"/>
      <c r="I63" s="11">
        <v>4198.9</v>
      </c>
      <c r="J63" s="11">
        <v>1.07</v>
      </c>
      <c r="K63" s="75">
        <v>0.032100000000000004</v>
      </c>
    </row>
    <row r="64" spans="1:11" s="15" customFormat="1" ht="15">
      <c r="A64" s="24" t="s">
        <v>67</v>
      </c>
      <c r="B64" s="19" t="s">
        <v>66</v>
      </c>
      <c r="C64" s="25"/>
      <c r="D64" s="122">
        <v>1663.21</v>
      </c>
      <c r="E64" s="96"/>
      <c r="F64" s="98"/>
      <c r="G64" s="96"/>
      <c r="H64" s="96"/>
      <c r="I64" s="11">
        <v>4198.9</v>
      </c>
      <c r="J64" s="11">
        <v>1.07</v>
      </c>
      <c r="K64" s="75">
        <v>0.032100000000000004</v>
      </c>
    </row>
    <row r="65" spans="1:11" s="15" customFormat="1" ht="25.5">
      <c r="A65" s="24" t="s">
        <v>64</v>
      </c>
      <c r="B65" s="19" t="s">
        <v>65</v>
      </c>
      <c r="C65" s="25"/>
      <c r="D65" s="122">
        <v>1584.8</v>
      </c>
      <c r="E65" s="96"/>
      <c r="F65" s="98"/>
      <c r="G65" s="96"/>
      <c r="H65" s="96"/>
      <c r="I65" s="11">
        <v>4198.9</v>
      </c>
      <c r="J65" s="11">
        <v>1.07</v>
      </c>
      <c r="K65" s="75">
        <v>0.032100000000000004</v>
      </c>
    </row>
    <row r="66" spans="1:11" s="15" customFormat="1" ht="25.5">
      <c r="A66" s="40" t="s">
        <v>106</v>
      </c>
      <c r="B66" s="84" t="s">
        <v>12</v>
      </c>
      <c r="C66" s="25"/>
      <c r="D66" s="122">
        <v>3152.81</v>
      </c>
      <c r="E66" s="96"/>
      <c r="F66" s="98"/>
      <c r="G66" s="96"/>
      <c r="H66" s="96"/>
      <c r="I66" s="11">
        <v>4198.9</v>
      </c>
      <c r="J66" s="11">
        <v>1.07</v>
      </c>
      <c r="K66" s="75">
        <v>0.1607064112029341</v>
      </c>
    </row>
    <row r="67" spans="1:11" s="15" customFormat="1" ht="15" hidden="1">
      <c r="A67" s="24" t="s">
        <v>49</v>
      </c>
      <c r="B67" s="19" t="s">
        <v>66</v>
      </c>
      <c r="C67" s="25"/>
      <c r="D67" s="97">
        <f aca="true" t="shared" si="2" ref="D67:D72">G67*I67</f>
        <v>0</v>
      </c>
      <c r="E67" s="96"/>
      <c r="F67" s="98"/>
      <c r="G67" s="96"/>
      <c r="H67" s="96"/>
      <c r="I67" s="11">
        <v>4198.9</v>
      </c>
      <c r="J67" s="11">
        <v>1.07</v>
      </c>
      <c r="K67" s="75">
        <v>0</v>
      </c>
    </row>
    <row r="68" spans="1:11" s="15" customFormat="1" ht="15" hidden="1">
      <c r="A68" s="24" t="s">
        <v>50</v>
      </c>
      <c r="B68" s="19" t="s">
        <v>17</v>
      </c>
      <c r="C68" s="25"/>
      <c r="D68" s="97">
        <f t="shared" si="2"/>
        <v>0</v>
      </c>
      <c r="E68" s="96"/>
      <c r="F68" s="98"/>
      <c r="G68" s="96"/>
      <c r="H68" s="96"/>
      <c r="I68" s="11">
        <v>4198.9</v>
      </c>
      <c r="J68" s="11">
        <v>1.07</v>
      </c>
      <c r="K68" s="75">
        <v>0</v>
      </c>
    </row>
    <row r="69" spans="1:11" s="15" customFormat="1" ht="25.5" hidden="1">
      <c r="A69" s="24" t="s">
        <v>48</v>
      </c>
      <c r="B69" s="19" t="s">
        <v>17</v>
      </c>
      <c r="C69" s="25"/>
      <c r="D69" s="97">
        <f t="shared" si="2"/>
        <v>0</v>
      </c>
      <c r="E69" s="96"/>
      <c r="F69" s="98"/>
      <c r="G69" s="96"/>
      <c r="H69" s="96"/>
      <c r="I69" s="11">
        <v>4198.9</v>
      </c>
      <c r="J69" s="11">
        <v>1.07</v>
      </c>
      <c r="K69" s="75">
        <v>0</v>
      </c>
    </row>
    <row r="70" spans="1:11" s="15" customFormat="1" ht="25.5">
      <c r="A70" s="24" t="s">
        <v>103</v>
      </c>
      <c r="B70" s="19" t="s">
        <v>12</v>
      </c>
      <c r="C70" s="25"/>
      <c r="D70" s="122">
        <v>11044.32</v>
      </c>
      <c r="E70" s="96"/>
      <c r="F70" s="98"/>
      <c r="G70" s="96"/>
      <c r="H70" s="96"/>
      <c r="I70" s="11">
        <v>4198.9</v>
      </c>
      <c r="J70" s="11">
        <v>1.07</v>
      </c>
      <c r="K70" s="75">
        <v>0.1926</v>
      </c>
    </row>
    <row r="71" spans="1:11" s="15" customFormat="1" ht="15">
      <c r="A71" s="40" t="s">
        <v>58</v>
      </c>
      <c r="B71" s="19" t="s">
        <v>9</v>
      </c>
      <c r="C71" s="41"/>
      <c r="D71" s="122">
        <v>5636.64</v>
      </c>
      <c r="E71" s="99"/>
      <c r="F71" s="98"/>
      <c r="G71" s="96"/>
      <c r="H71" s="96"/>
      <c r="I71" s="11">
        <v>4198.9</v>
      </c>
      <c r="J71" s="11">
        <v>1.07</v>
      </c>
      <c r="K71" s="75">
        <v>0.0963</v>
      </c>
    </row>
    <row r="72" spans="1:11" s="15" customFormat="1" ht="15" hidden="1">
      <c r="A72" s="40" t="s">
        <v>73</v>
      </c>
      <c r="B72" s="19" t="s">
        <v>17</v>
      </c>
      <c r="C72" s="25"/>
      <c r="D72" s="97">
        <f t="shared" si="2"/>
        <v>0</v>
      </c>
      <c r="E72" s="96"/>
      <c r="F72" s="98"/>
      <c r="G72" s="96">
        <f>H72*12</f>
        <v>0</v>
      </c>
      <c r="H72" s="96">
        <v>0</v>
      </c>
      <c r="I72" s="11">
        <v>4198.9</v>
      </c>
      <c r="J72" s="11">
        <v>1.07</v>
      </c>
      <c r="K72" s="75">
        <v>0</v>
      </c>
    </row>
    <row r="73" spans="1:11" s="15" customFormat="1" ht="25.5">
      <c r="A73" s="40" t="s">
        <v>124</v>
      </c>
      <c r="B73" s="84" t="s">
        <v>12</v>
      </c>
      <c r="C73" s="25"/>
      <c r="D73" s="123">
        <v>19221.59</v>
      </c>
      <c r="E73" s="96"/>
      <c r="F73" s="98"/>
      <c r="G73" s="99"/>
      <c r="H73" s="99"/>
      <c r="I73" s="11">
        <v>4198.9</v>
      </c>
      <c r="J73" s="11"/>
      <c r="K73" s="75"/>
    </row>
    <row r="74" spans="1:11" s="15" customFormat="1" ht="25.5">
      <c r="A74" s="24" t="s">
        <v>112</v>
      </c>
      <c r="B74" s="84" t="s">
        <v>12</v>
      </c>
      <c r="C74" s="68"/>
      <c r="D74" s="114">
        <v>18256.33</v>
      </c>
      <c r="E74" s="96"/>
      <c r="F74" s="98"/>
      <c r="G74" s="99"/>
      <c r="H74" s="99"/>
      <c r="I74" s="11">
        <v>4198.9</v>
      </c>
      <c r="J74" s="11"/>
      <c r="K74" s="75"/>
    </row>
    <row r="75" spans="1:11" s="15" customFormat="1" ht="30">
      <c r="A75" s="20" t="s">
        <v>44</v>
      </c>
      <c r="B75" s="19"/>
      <c r="C75" s="25"/>
      <c r="D75" s="86">
        <f>D76+D77+D78</f>
        <v>2626.77</v>
      </c>
      <c r="E75" s="96"/>
      <c r="F75" s="98"/>
      <c r="G75" s="86">
        <f>D75/I75</f>
        <v>0.5426425930134071</v>
      </c>
      <c r="H75" s="86">
        <f>G75/12</f>
        <v>0.04522021608445059</v>
      </c>
      <c r="I75" s="11">
        <v>4840.7</v>
      </c>
      <c r="J75" s="11">
        <v>1.07</v>
      </c>
      <c r="K75" s="75">
        <v>0.053500000000000006</v>
      </c>
    </row>
    <row r="76" spans="1:11" s="15" customFormat="1" ht="25.5">
      <c r="A76" s="40" t="s">
        <v>107</v>
      </c>
      <c r="B76" s="84" t="s">
        <v>12</v>
      </c>
      <c r="C76" s="25"/>
      <c r="D76" s="122">
        <v>342.06</v>
      </c>
      <c r="E76" s="96"/>
      <c r="F76" s="98"/>
      <c r="G76" s="96"/>
      <c r="H76" s="96"/>
      <c r="I76" s="11">
        <v>4840.7</v>
      </c>
      <c r="J76" s="11">
        <v>1.07</v>
      </c>
      <c r="K76" s="75">
        <v>0.021400000000000002</v>
      </c>
    </row>
    <row r="77" spans="1:11" s="15" customFormat="1" ht="15">
      <c r="A77" s="24" t="s">
        <v>80</v>
      </c>
      <c r="B77" s="19" t="s">
        <v>17</v>
      </c>
      <c r="C77" s="25"/>
      <c r="D77" s="122">
        <v>2284.71</v>
      </c>
      <c r="E77" s="96"/>
      <c r="F77" s="98"/>
      <c r="G77" s="96"/>
      <c r="H77" s="96"/>
      <c r="I77" s="11">
        <v>4840.7</v>
      </c>
      <c r="J77" s="11">
        <v>1.07</v>
      </c>
      <c r="K77" s="75">
        <v>0.032100000000000004</v>
      </c>
    </row>
    <row r="78" spans="1:11" s="15" customFormat="1" ht="15" hidden="1">
      <c r="A78" s="24" t="s">
        <v>59</v>
      </c>
      <c r="B78" s="19" t="s">
        <v>9</v>
      </c>
      <c r="C78" s="25"/>
      <c r="D78" s="97">
        <f>G78*I78</f>
        <v>0</v>
      </c>
      <c r="E78" s="96"/>
      <c r="F78" s="98"/>
      <c r="G78" s="96">
        <f>H78*12</f>
        <v>0</v>
      </c>
      <c r="H78" s="96">
        <v>0</v>
      </c>
      <c r="I78" s="11">
        <v>4198.9</v>
      </c>
      <c r="J78" s="11">
        <v>1.07</v>
      </c>
      <c r="K78" s="75">
        <v>0</v>
      </c>
    </row>
    <row r="79" spans="1:11" s="15" customFormat="1" ht="15">
      <c r="A79" s="20" t="s">
        <v>45</v>
      </c>
      <c r="B79" s="19"/>
      <c r="C79" s="25"/>
      <c r="D79" s="86">
        <f>D80+D81+D82+D85</f>
        <v>14385.439999999999</v>
      </c>
      <c r="E79" s="96"/>
      <c r="F79" s="98"/>
      <c r="G79" s="86">
        <f>D79/I79</f>
        <v>3.4260020481554694</v>
      </c>
      <c r="H79" s="86">
        <f>G79/12</f>
        <v>0.28550017067962247</v>
      </c>
      <c r="I79" s="11">
        <v>4198.9</v>
      </c>
      <c r="J79" s="11">
        <v>1.07</v>
      </c>
      <c r="K79" s="75">
        <v>0.17120000000000002</v>
      </c>
    </row>
    <row r="80" spans="1:11" s="15" customFormat="1" ht="15">
      <c r="A80" s="24" t="s">
        <v>40</v>
      </c>
      <c r="B80" s="19" t="s">
        <v>9</v>
      </c>
      <c r="C80" s="25"/>
      <c r="D80" s="122">
        <v>1104.48</v>
      </c>
      <c r="E80" s="96"/>
      <c r="F80" s="98"/>
      <c r="G80" s="96"/>
      <c r="H80" s="96"/>
      <c r="I80" s="11">
        <v>4198.9</v>
      </c>
      <c r="J80" s="11">
        <v>1.07</v>
      </c>
      <c r="K80" s="75">
        <v>0.021400000000000002</v>
      </c>
    </row>
    <row r="81" spans="1:11" s="15" customFormat="1" ht="15">
      <c r="A81" s="24" t="s">
        <v>77</v>
      </c>
      <c r="B81" s="19" t="s">
        <v>17</v>
      </c>
      <c r="C81" s="25"/>
      <c r="D81" s="122">
        <v>8283.19</v>
      </c>
      <c r="E81" s="96"/>
      <c r="F81" s="98"/>
      <c r="G81" s="96"/>
      <c r="H81" s="96"/>
      <c r="I81" s="11">
        <v>4198.9</v>
      </c>
      <c r="J81" s="11">
        <v>1.07</v>
      </c>
      <c r="K81" s="75">
        <v>0.1391</v>
      </c>
    </row>
    <row r="82" spans="1:11" s="15" customFormat="1" ht="15">
      <c r="A82" s="24" t="s">
        <v>41</v>
      </c>
      <c r="B82" s="19" t="s">
        <v>17</v>
      </c>
      <c r="C82" s="25"/>
      <c r="D82" s="122">
        <v>828.31</v>
      </c>
      <c r="E82" s="96"/>
      <c r="F82" s="98"/>
      <c r="G82" s="96"/>
      <c r="H82" s="96"/>
      <c r="I82" s="11">
        <v>4840.7</v>
      </c>
      <c r="J82" s="11">
        <v>1.07</v>
      </c>
      <c r="K82" s="75">
        <v>0.010700000000000001</v>
      </c>
    </row>
    <row r="83" spans="1:11" s="15" customFormat="1" ht="25.5" hidden="1">
      <c r="A83" s="40" t="s">
        <v>68</v>
      </c>
      <c r="B83" s="19" t="s">
        <v>12</v>
      </c>
      <c r="C83" s="25"/>
      <c r="D83" s="97">
        <f>G83*I83</f>
        <v>0</v>
      </c>
      <c r="E83" s="96"/>
      <c r="F83" s="98"/>
      <c r="G83" s="96"/>
      <c r="H83" s="96"/>
      <c r="I83" s="11">
        <v>4198.9</v>
      </c>
      <c r="J83" s="11">
        <v>1.07</v>
      </c>
      <c r="K83" s="75">
        <v>0</v>
      </c>
    </row>
    <row r="84" spans="1:11" s="15" customFormat="1" ht="25.5" hidden="1">
      <c r="A84" s="40" t="s">
        <v>74</v>
      </c>
      <c r="B84" s="19" t="s">
        <v>12</v>
      </c>
      <c r="C84" s="25"/>
      <c r="D84" s="97">
        <f>G84*I84</f>
        <v>0</v>
      </c>
      <c r="E84" s="96"/>
      <c r="F84" s="98"/>
      <c r="G84" s="96"/>
      <c r="H84" s="96"/>
      <c r="I84" s="11">
        <v>4198.9</v>
      </c>
      <c r="J84" s="11">
        <v>1.07</v>
      </c>
      <c r="K84" s="75">
        <v>0</v>
      </c>
    </row>
    <row r="85" spans="1:11" s="15" customFormat="1" ht="25.5">
      <c r="A85" s="40" t="s">
        <v>72</v>
      </c>
      <c r="B85" s="19" t="s">
        <v>12</v>
      </c>
      <c r="C85" s="25"/>
      <c r="D85" s="122">
        <v>4169.46</v>
      </c>
      <c r="E85" s="96"/>
      <c r="F85" s="98"/>
      <c r="G85" s="96"/>
      <c r="H85" s="96"/>
      <c r="I85" s="11">
        <v>4198.9</v>
      </c>
      <c r="J85" s="11">
        <v>1.07</v>
      </c>
      <c r="K85" s="75">
        <v>0.07490000000000001</v>
      </c>
    </row>
    <row r="86" spans="1:11" s="15" customFormat="1" ht="15">
      <c r="A86" s="20" t="s">
        <v>46</v>
      </c>
      <c r="B86" s="19"/>
      <c r="C86" s="25"/>
      <c r="D86" s="86">
        <f>D87</f>
        <v>993.79</v>
      </c>
      <c r="E86" s="96"/>
      <c r="F86" s="98"/>
      <c r="G86" s="86">
        <f>D86/I86</f>
        <v>0.23667865393317297</v>
      </c>
      <c r="H86" s="86">
        <f>G86/12</f>
        <v>0.01972322116109775</v>
      </c>
      <c r="I86" s="11">
        <v>4198.9</v>
      </c>
      <c r="J86" s="11">
        <v>1.07</v>
      </c>
      <c r="K86" s="75">
        <v>0.0963</v>
      </c>
    </row>
    <row r="87" spans="1:11" s="15" customFormat="1" ht="15">
      <c r="A87" s="24" t="s">
        <v>42</v>
      </c>
      <c r="B87" s="19" t="s">
        <v>17</v>
      </c>
      <c r="C87" s="25"/>
      <c r="D87" s="122">
        <v>993.79</v>
      </c>
      <c r="E87" s="96"/>
      <c r="F87" s="98"/>
      <c r="G87" s="96"/>
      <c r="H87" s="96"/>
      <c r="I87" s="11">
        <v>4840.7</v>
      </c>
      <c r="J87" s="11">
        <v>1.07</v>
      </c>
      <c r="K87" s="75">
        <v>0.010700000000000001</v>
      </c>
    </row>
    <row r="88" spans="1:11" s="11" customFormat="1" ht="15">
      <c r="A88" s="20" t="s">
        <v>55</v>
      </c>
      <c r="B88" s="21"/>
      <c r="C88" s="16"/>
      <c r="D88" s="86">
        <f>D89+D90</f>
        <v>26950.8</v>
      </c>
      <c r="E88" s="86"/>
      <c r="F88" s="92"/>
      <c r="G88" s="86">
        <f>D88/I88</f>
        <v>6.418538188573198</v>
      </c>
      <c r="H88" s="86">
        <f>G88/12</f>
        <v>0.5348781823810999</v>
      </c>
      <c r="I88" s="11">
        <v>4198.9</v>
      </c>
      <c r="J88" s="11">
        <v>1.07</v>
      </c>
      <c r="K88" s="75">
        <v>0.021400000000000002</v>
      </c>
    </row>
    <row r="89" spans="1:11" s="15" customFormat="1" ht="15">
      <c r="A89" s="24" t="s">
        <v>123</v>
      </c>
      <c r="B89" s="84" t="s">
        <v>108</v>
      </c>
      <c r="C89" s="25"/>
      <c r="D89" s="122">
        <f>35640/3</f>
        <v>11880</v>
      </c>
      <c r="E89" s="96"/>
      <c r="F89" s="98"/>
      <c r="G89" s="96"/>
      <c r="H89" s="96"/>
      <c r="I89" s="11">
        <v>4198.9</v>
      </c>
      <c r="J89" s="11">
        <v>1.07</v>
      </c>
      <c r="K89" s="75">
        <v>0.021400000000000002</v>
      </c>
    </row>
    <row r="90" spans="1:11" s="15" customFormat="1" ht="15">
      <c r="A90" s="24" t="s">
        <v>69</v>
      </c>
      <c r="B90" s="84" t="s">
        <v>22</v>
      </c>
      <c r="C90" s="25">
        <f>F90*12</f>
        <v>0</v>
      </c>
      <c r="D90" s="122">
        <v>15070.8</v>
      </c>
      <c r="E90" s="96">
        <f>H90*12</f>
        <v>0</v>
      </c>
      <c r="F90" s="98"/>
      <c r="G90" s="96"/>
      <c r="H90" s="96"/>
      <c r="I90" s="11">
        <v>4198.9</v>
      </c>
      <c r="J90" s="11">
        <v>1.07</v>
      </c>
      <c r="K90" s="75">
        <v>0</v>
      </c>
    </row>
    <row r="91" spans="1:11" s="11" customFormat="1" ht="15">
      <c r="A91" s="20" t="s">
        <v>54</v>
      </c>
      <c r="B91" s="21"/>
      <c r="C91" s="16"/>
      <c r="D91" s="86">
        <f>D92+D93+D94+D95</f>
        <v>16952.190000000002</v>
      </c>
      <c r="E91" s="86">
        <f>E92+E93+E94+E95</f>
        <v>0</v>
      </c>
      <c r="F91" s="86">
        <f>F92+F93+F94+F95</f>
        <v>0</v>
      </c>
      <c r="G91" s="86">
        <f>G92+G93+G94+G95</f>
        <v>0</v>
      </c>
      <c r="H91" s="86">
        <f>H92+H93+H94+H95</f>
        <v>0</v>
      </c>
      <c r="I91" s="11">
        <v>4198.9</v>
      </c>
      <c r="J91" s="11">
        <v>1.07</v>
      </c>
      <c r="K91" s="75">
        <v>0.2033</v>
      </c>
    </row>
    <row r="92" spans="1:11" s="15" customFormat="1" ht="15">
      <c r="A92" s="24" t="s">
        <v>132</v>
      </c>
      <c r="B92" s="19" t="s">
        <v>61</v>
      </c>
      <c r="C92" s="25"/>
      <c r="D92" s="122">
        <v>6626.34</v>
      </c>
      <c r="E92" s="96"/>
      <c r="F92" s="98"/>
      <c r="G92" s="96"/>
      <c r="H92" s="96"/>
      <c r="I92" s="11">
        <v>4198.9</v>
      </c>
      <c r="J92" s="11">
        <v>1.07</v>
      </c>
      <c r="K92" s="75">
        <v>0.11770000000000001</v>
      </c>
    </row>
    <row r="93" spans="1:11" s="15" customFormat="1" ht="15">
      <c r="A93" s="24" t="s">
        <v>70</v>
      </c>
      <c r="B93" s="19" t="s">
        <v>61</v>
      </c>
      <c r="C93" s="25"/>
      <c r="D93" s="122">
        <v>2208.87</v>
      </c>
      <c r="E93" s="96"/>
      <c r="F93" s="98"/>
      <c r="G93" s="96"/>
      <c r="H93" s="96"/>
      <c r="I93" s="11">
        <v>4198.9</v>
      </c>
      <c r="J93" s="11">
        <v>1.07</v>
      </c>
      <c r="K93" s="75">
        <v>0.042800000000000005</v>
      </c>
    </row>
    <row r="94" spans="1:11" s="15" customFormat="1" ht="25.5" customHeight="1">
      <c r="A94" s="24" t="s">
        <v>71</v>
      </c>
      <c r="B94" s="19" t="s">
        <v>17</v>
      </c>
      <c r="C94" s="25"/>
      <c r="D94" s="122">
        <v>2484.13</v>
      </c>
      <c r="E94" s="96"/>
      <c r="F94" s="98"/>
      <c r="G94" s="96"/>
      <c r="H94" s="96"/>
      <c r="I94" s="11">
        <v>4198.9</v>
      </c>
      <c r="J94" s="11">
        <v>1.07</v>
      </c>
      <c r="K94" s="75">
        <v>0.042800000000000005</v>
      </c>
    </row>
    <row r="95" spans="1:11" s="15" customFormat="1" ht="25.5" customHeight="1">
      <c r="A95" s="24" t="s">
        <v>100</v>
      </c>
      <c r="B95" s="19" t="s">
        <v>61</v>
      </c>
      <c r="C95" s="68"/>
      <c r="D95" s="113">
        <v>5632.85</v>
      </c>
      <c r="E95" s="100"/>
      <c r="F95" s="101"/>
      <c r="G95" s="100"/>
      <c r="H95" s="100"/>
      <c r="I95" s="11">
        <v>4198.9</v>
      </c>
      <c r="J95" s="11">
        <v>1.07</v>
      </c>
      <c r="K95" s="75">
        <v>0.0963</v>
      </c>
    </row>
    <row r="96" spans="1:11" s="11" customFormat="1" ht="30.75" thickBot="1">
      <c r="A96" s="37" t="s">
        <v>34</v>
      </c>
      <c r="B96" s="21" t="s">
        <v>12</v>
      </c>
      <c r="C96" s="27">
        <f>F96*12</f>
        <v>0</v>
      </c>
      <c r="D96" s="94">
        <f>G96*I96</f>
        <v>16123.775999999998</v>
      </c>
      <c r="E96" s="94">
        <f>H96*12</f>
        <v>3.84</v>
      </c>
      <c r="F96" s="95"/>
      <c r="G96" s="94">
        <f>H96*12</f>
        <v>3.84</v>
      </c>
      <c r="H96" s="94">
        <v>0.32</v>
      </c>
      <c r="I96" s="11">
        <v>4198.9</v>
      </c>
      <c r="J96" s="11">
        <v>1.07</v>
      </c>
      <c r="K96" s="75">
        <v>0.29960000000000003</v>
      </c>
    </row>
    <row r="97" spans="1:11" s="11" customFormat="1" ht="19.5" hidden="1" thickBot="1">
      <c r="A97" s="47"/>
      <c r="B97" s="26"/>
      <c r="C97" s="27"/>
      <c r="D97" s="94"/>
      <c r="E97" s="94"/>
      <c r="F97" s="95"/>
      <c r="G97" s="94"/>
      <c r="H97" s="85">
        <v>0</v>
      </c>
      <c r="I97" s="11">
        <v>4198.9</v>
      </c>
      <c r="J97" s="11">
        <v>1.07</v>
      </c>
      <c r="K97" s="75">
        <v>0</v>
      </c>
    </row>
    <row r="98" spans="1:11" s="11" customFormat="1" ht="15.75" hidden="1" thickBot="1">
      <c r="A98" s="48"/>
      <c r="B98" s="43"/>
      <c r="C98" s="44"/>
      <c r="D98" s="102"/>
      <c r="E98" s="102"/>
      <c r="F98" s="103"/>
      <c r="G98" s="102"/>
      <c r="H98" s="85">
        <v>0</v>
      </c>
      <c r="I98" s="11">
        <v>4198.9</v>
      </c>
      <c r="J98" s="11">
        <v>1.07</v>
      </c>
      <c r="K98" s="75">
        <v>0</v>
      </c>
    </row>
    <row r="99" spans="1:11" s="11" customFormat="1" ht="15.75" hidden="1" thickBot="1">
      <c r="A99" s="48"/>
      <c r="B99" s="43"/>
      <c r="C99" s="44"/>
      <c r="D99" s="102"/>
      <c r="E99" s="102"/>
      <c r="F99" s="103"/>
      <c r="G99" s="102"/>
      <c r="H99" s="85">
        <v>0</v>
      </c>
      <c r="I99" s="11">
        <v>4198.9</v>
      </c>
      <c r="J99" s="11">
        <v>1.07</v>
      </c>
      <c r="K99" s="75">
        <v>0</v>
      </c>
    </row>
    <row r="100" spans="1:11" s="11" customFormat="1" ht="15.75" hidden="1" thickBot="1">
      <c r="A100" s="48"/>
      <c r="B100" s="43"/>
      <c r="C100" s="44"/>
      <c r="D100" s="102"/>
      <c r="E100" s="102"/>
      <c r="F100" s="103"/>
      <c r="G100" s="102"/>
      <c r="H100" s="85">
        <v>0</v>
      </c>
      <c r="I100" s="11">
        <v>4198.9</v>
      </c>
      <c r="J100" s="11">
        <v>1.07</v>
      </c>
      <c r="K100" s="75">
        <v>0</v>
      </c>
    </row>
    <row r="101" spans="1:11" s="11" customFormat="1" ht="15.75" hidden="1" thickBot="1">
      <c r="A101" s="48"/>
      <c r="B101" s="43"/>
      <c r="C101" s="44"/>
      <c r="D101" s="102"/>
      <c r="E101" s="102"/>
      <c r="F101" s="103"/>
      <c r="G101" s="102"/>
      <c r="H101" s="85">
        <v>0</v>
      </c>
      <c r="I101" s="11">
        <v>4198.9</v>
      </c>
      <c r="J101" s="11">
        <v>1.07</v>
      </c>
      <c r="K101" s="75">
        <v>0</v>
      </c>
    </row>
    <row r="102" spans="1:11" s="11" customFormat="1" ht="15.75" hidden="1" thickBot="1">
      <c r="A102" s="48"/>
      <c r="B102" s="43"/>
      <c r="C102" s="44"/>
      <c r="D102" s="102"/>
      <c r="E102" s="102"/>
      <c r="F102" s="103"/>
      <c r="G102" s="102"/>
      <c r="H102" s="85">
        <v>0</v>
      </c>
      <c r="I102" s="11">
        <v>4198.9</v>
      </c>
      <c r="J102" s="11">
        <v>1.07</v>
      </c>
      <c r="K102" s="75">
        <v>0</v>
      </c>
    </row>
    <row r="103" spans="1:11" s="11" customFormat="1" ht="15.75" hidden="1" thickBot="1">
      <c r="A103" s="48"/>
      <c r="B103" s="43"/>
      <c r="C103" s="44"/>
      <c r="D103" s="102"/>
      <c r="E103" s="102"/>
      <c r="F103" s="103"/>
      <c r="G103" s="102"/>
      <c r="H103" s="85">
        <v>0</v>
      </c>
      <c r="I103" s="11">
        <v>4198.9</v>
      </c>
      <c r="J103" s="11">
        <v>1.07</v>
      </c>
      <c r="K103" s="75">
        <v>0</v>
      </c>
    </row>
    <row r="104" spans="1:11" s="11" customFormat="1" ht="15.75" hidden="1" thickBot="1">
      <c r="A104" s="48"/>
      <c r="B104" s="43"/>
      <c r="C104" s="44"/>
      <c r="D104" s="102"/>
      <c r="E104" s="102"/>
      <c r="F104" s="103"/>
      <c r="G104" s="102"/>
      <c r="H104" s="85">
        <v>0</v>
      </c>
      <c r="I104" s="11">
        <v>4198.9</v>
      </c>
      <c r="J104" s="11">
        <v>1.07</v>
      </c>
      <c r="K104" s="75">
        <v>0</v>
      </c>
    </row>
    <row r="105" spans="1:11" s="11" customFormat="1" ht="15.75" hidden="1" thickBot="1">
      <c r="A105" s="49"/>
      <c r="B105" s="46"/>
      <c r="C105" s="45"/>
      <c r="D105" s="102"/>
      <c r="E105" s="102"/>
      <c r="F105" s="103"/>
      <c r="G105" s="102"/>
      <c r="H105" s="85">
        <v>0</v>
      </c>
      <c r="I105" s="11">
        <v>4198.9</v>
      </c>
      <c r="J105" s="11">
        <v>1.07</v>
      </c>
      <c r="K105" s="75">
        <v>0</v>
      </c>
    </row>
    <row r="106" spans="1:11" s="11" customFormat="1" ht="15.75" hidden="1" thickBot="1">
      <c r="A106" s="49"/>
      <c r="B106" s="46"/>
      <c r="C106" s="45"/>
      <c r="D106" s="102"/>
      <c r="E106" s="102"/>
      <c r="F106" s="103"/>
      <c r="G106" s="102"/>
      <c r="H106" s="85">
        <v>0</v>
      </c>
      <c r="I106" s="11">
        <v>4198.9</v>
      </c>
      <c r="J106" s="11">
        <v>1.07</v>
      </c>
      <c r="K106" s="75">
        <v>0</v>
      </c>
    </row>
    <row r="107" spans="1:11" s="11" customFormat="1" ht="20.25" thickBot="1">
      <c r="A107" s="65" t="s">
        <v>109</v>
      </c>
      <c r="B107" s="112" t="s">
        <v>11</v>
      </c>
      <c r="C107" s="23"/>
      <c r="D107" s="104">
        <f>G107*I107</f>
        <v>92207.844</v>
      </c>
      <c r="E107" s="93"/>
      <c r="F107" s="104"/>
      <c r="G107" s="93">
        <f>H107*12</f>
        <v>21.96</v>
      </c>
      <c r="H107" s="93">
        <v>1.83</v>
      </c>
      <c r="I107" s="11">
        <v>4198.9</v>
      </c>
      <c r="J107" s="11">
        <v>1.07</v>
      </c>
      <c r="K107" s="75">
        <v>5.308930116617844</v>
      </c>
    </row>
    <row r="108" spans="1:11" s="61" customFormat="1" ht="20.25" thickBot="1">
      <c r="A108" s="69" t="s">
        <v>33</v>
      </c>
      <c r="B108" s="70"/>
      <c r="C108" s="71" t="e">
        <f>F108*12</f>
        <v>#REF!</v>
      </c>
      <c r="D108" s="105">
        <f>D96+D91+D88+D86+D79+D75+D61+D45+D44+D43+D42+D41+D40+D39+D36+D35+D34+D33+D32+D24+D15+D107</f>
        <v>768219.9480000001</v>
      </c>
      <c r="E108" s="105" t="e">
        <f>E15+E24+E32+E33+E34+E35+E36+#REF!+E41+E42+E43+E44+E45+E61+E75+E79+E86+#REF!+E88+E91+#REF!+E96+E107</f>
        <v>#REF!</v>
      </c>
      <c r="F108" s="105" t="e">
        <f>F15+F24+F32+F33+F34+F35+F36+#REF!+F41+F42+F43+F44+F45+F61+F75+F79+F86+#REF!+F88+F91+#REF!+F96+F107</f>
        <v>#REF!</v>
      </c>
      <c r="G108" s="105"/>
      <c r="H108" s="105"/>
      <c r="K108" s="80"/>
    </row>
    <row r="109" spans="1:11" s="29" customFormat="1" ht="20.25" hidden="1" thickBot="1">
      <c r="A109" s="35" t="s">
        <v>29</v>
      </c>
      <c r="B109" s="36" t="s">
        <v>11</v>
      </c>
      <c r="C109" s="36" t="s">
        <v>30</v>
      </c>
      <c r="D109" s="107"/>
      <c r="E109" s="106" t="s">
        <v>30</v>
      </c>
      <c r="F109" s="108"/>
      <c r="G109" s="106" t="s">
        <v>30</v>
      </c>
      <c r="H109" s="108"/>
      <c r="K109" s="81"/>
    </row>
    <row r="110" spans="1:11" s="31" customFormat="1" ht="12.75">
      <c r="A110" s="30"/>
      <c r="D110" s="109"/>
      <c r="E110" s="109"/>
      <c r="F110" s="109"/>
      <c r="G110" s="109"/>
      <c r="H110" s="109"/>
      <c r="K110" s="82"/>
    </row>
    <row r="111" spans="1:11" s="31" customFormat="1" ht="12.75">
      <c r="A111" s="30"/>
      <c r="D111" s="109"/>
      <c r="E111" s="109"/>
      <c r="F111" s="109"/>
      <c r="G111" s="109"/>
      <c r="H111" s="109"/>
      <c r="K111" s="82"/>
    </row>
    <row r="112" spans="1:11" s="31" customFormat="1" ht="12.75" hidden="1">
      <c r="A112" s="30"/>
      <c r="D112" s="109"/>
      <c r="E112" s="109"/>
      <c r="F112" s="109"/>
      <c r="G112" s="109"/>
      <c r="H112" s="109"/>
      <c r="K112" s="82"/>
    </row>
    <row r="113" spans="1:11" s="31" customFormat="1" ht="12.75" hidden="1">
      <c r="A113" s="30"/>
      <c r="D113" s="109"/>
      <c r="E113" s="109"/>
      <c r="F113" s="109"/>
      <c r="G113" s="109"/>
      <c r="H113" s="109"/>
      <c r="K113" s="82"/>
    </row>
    <row r="114" spans="1:11" s="31" customFormat="1" ht="12.75">
      <c r="A114" s="30"/>
      <c r="D114" s="109"/>
      <c r="E114" s="109"/>
      <c r="F114" s="109"/>
      <c r="G114" s="109"/>
      <c r="H114" s="109"/>
      <c r="K114" s="82"/>
    </row>
    <row r="115" spans="1:11" s="31" customFormat="1" ht="13.5" thickBot="1">
      <c r="A115" s="30"/>
      <c r="D115" s="109"/>
      <c r="E115" s="109"/>
      <c r="F115" s="109"/>
      <c r="G115" s="109"/>
      <c r="H115" s="109"/>
      <c r="K115" s="82"/>
    </row>
    <row r="116" spans="1:11" s="31" customFormat="1" ht="39">
      <c r="A116" s="72" t="s">
        <v>98</v>
      </c>
      <c r="B116" s="73"/>
      <c r="C116" s="74">
        <f>F116*12</f>
        <v>0</v>
      </c>
      <c r="D116" s="110">
        <f>D117+D118+D119+D120+D121+D122+D123+D124+D125+D126+D127+D130+D128+D131+D129</f>
        <v>2719190.2039999994</v>
      </c>
      <c r="E116" s="110">
        <f>E117+E118+E119+E120+E121+E122+E123+E124+E125+E126+E127+E130+E128+E131+E129</f>
        <v>0</v>
      </c>
      <c r="F116" s="110">
        <f>F117+F118+F119+F120+F121+F122+F123+F124+F125+F126+F127+F130+F128+F131+F129</f>
        <v>0</v>
      </c>
      <c r="G116" s="110">
        <f>G117+G118+G119+G120+G121+G122+G123+G124+G125+G126+G127+G130+G128+G131+G129</f>
        <v>600.0038763332824</v>
      </c>
      <c r="H116" s="110">
        <v>50.01</v>
      </c>
      <c r="I116" s="11">
        <v>4198.9</v>
      </c>
      <c r="K116" s="82"/>
    </row>
    <row r="117" spans="1:11" s="15" customFormat="1" ht="17.25" customHeight="1">
      <c r="A117" s="24" t="s">
        <v>110</v>
      </c>
      <c r="B117" s="19"/>
      <c r="C117" s="68"/>
      <c r="D117" s="113">
        <v>610946.42</v>
      </c>
      <c r="E117" s="100"/>
      <c r="F117" s="101"/>
      <c r="G117" s="100">
        <f>D117/I117</f>
        <v>145.50154087975423</v>
      </c>
      <c r="H117" s="100">
        <f>G117/12</f>
        <v>12.125128406646185</v>
      </c>
      <c r="I117" s="11">
        <v>4198.9</v>
      </c>
      <c r="J117" s="11"/>
      <c r="K117" s="75"/>
    </row>
    <row r="118" spans="1:11" s="15" customFormat="1" ht="17.25" customHeight="1">
      <c r="A118" s="24" t="s">
        <v>111</v>
      </c>
      <c r="B118" s="19"/>
      <c r="C118" s="68"/>
      <c r="D118" s="113">
        <v>140958</v>
      </c>
      <c r="E118" s="100"/>
      <c r="F118" s="101"/>
      <c r="G118" s="100">
        <f aca="true" t="shared" si="3" ref="G118:G132">D118/I118</f>
        <v>33.570220772106985</v>
      </c>
      <c r="H118" s="100">
        <f aca="true" t="shared" si="4" ref="H118:H131">G118/12</f>
        <v>2.797518397675582</v>
      </c>
      <c r="I118" s="11">
        <v>4198.9</v>
      </c>
      <c r="J118" s="11"/>
      <c r="K118" s="75"/>
    </row>
    <row r="119" spans="1:11" s="15" customFormat="1" ht="17.25" customHeight="1">
      <c r="A119" s="24" t="s">
        <v>125</v>
      </c>
      <c r="B119" s="19"/>
      <c r="C119" s="68"/>
      <c r="D119" s="113">
        <v>2339.21</v>
      </c>
      <c r="E119" s="100"/>
      <c r="F119" s="101"/>
      <c r="G119" s="100">
        <f t="shared" si="3"/>
        <v>0.5571006692228918</v>
      </c>
      <c r="H119" s="100">
        <f t="shared" si="4"/>
        <v>0.046425055768574315</v>
      </c>
      <c r="I119" s="11">
        <v>4198.9</v>
      </c>
      <c r="J119" s="11"/>
      <c r="K119" s="75"/>
    </row>
    <row r="120" spans="1:11" s="15" customFormat="1" ht="17.25" customHeight="1">
      <c r="A120" s="24" t="s">
        <v>126</v>
      </c>
      <c r="B120" s="19"/>
      <c r="C120" s="68"/>
      <c r="D120" s="113">
        <v>3424.32</v>
      </c>
      <c r="E120" s="100"/>
      <c r="F120" s="101"/>
      <c r="G120" s="100">
        <f t="shared" si="3"/>
        <v>0.8155278763485676</v>
      </c>
      <c r="H120" s="100">
        <f t="shared" si="4"/>
        <v>0.06796065636238063</v>
      </c>
      <c r="I120" s="11">
        <v>4198.9</v>
      </c>
      <c r="J120" s="11"/>
      <c r="K120" s="75"/>
    </row>
    <row r="121" spans="1:11" s="15" customFormat="1" ht="17.25" customHeight="1">
      <c r="A121" s="24" t="s">
        <v>102</v>
      </c>
      <c r="B121" s="19"/>
      <c r="C121" s="68"/>
      <c r="D121" s="113">
        <v>2755.14</v>
      </c>
      <c r="E121" s="100"/>
      <c r="F121" s="101"/>
      <c r="G121" s="100">
        <f t="shared" si="3"/>
        <v>0.6561575650765678</v>
      </c>
      <c r="H121" s="100">
        <f t="shared" si="4"/>
        <v>0.05467979708971398</v>
      </c>
      <c r="I121" s="11">
        <v>4198.9</v>
      </c>
      <c r="J121" s="11"/>
      <c r="K121" s="75"/>
    </row>
    <row r="122" spans="1:11" s="15" customFormat="1" ht="17.25" customHeight="1">
      <c r="A122" s="24" t="s">
        <v>127</v>
      </c>
      <c r="B122" s="19"/>
      <c r="C122" s="68"/>
      <c r="D122" s="113">
        <v>106397.84</v>
      </c>
      <c r="E122" s="100"/>
      <c r="F122" s="101"/>
      <c r="G122" s="100">
        <f t="shared" si="3"/>
        <v>25.33945557169735</v>
      </c>
      <c r="H122" s="100">
        <f t="shared" si="4"/>
        <v>2.1116212976414457</v>
      </c>
      <c r="I122" s="11">
        <v>4198.9</v>
      </c>
      <c r="J122" s="11"/>
      <c r="K122" s="75"/>
    </row>
    <row r="123" spans="1:11" s="15" customFormat="1" ht="17.25" customHeight="1">
      <c r="A123" s="24" t="s">
        <v>128</v>
      </c>
      <c r="B123" s="19"/>
      <c r="C123" s="68"/>
      <c r="D123" s="113">
        <v>36790.07</v>
      </c>
      <c r="E123" s="100"/>
      <c r="F123" s="101"/>
      <c r="G123" s="100">
        <f t="shared" si="3"/>
        <v>8.76183524256353</v>
      </c>
      <c r="H123" s="100">
        <f t="shared" si="4"/>
        <v>0.7301529368802941</v>
      </c>
      <c r="I123" s="11">
        <v>4198.9</v>
      </c>
      <c r="J123" s="11"/>
      <c r="K123" s="75"/>
    </row>
    <row r="124" spans="1:11" s="15" customFormat="1" ht="17.25" customHeight="1">
      <c r="A124" s="24" t="s">
        <v>78</v>
      </c>
      <c r="B124" s="19"/>
      <c r="C124" s="68"/>
      <c r="D124" s="113">
        <v>1379824.91</v>
      </c>
      <c r="E124" s="100"/>
      <c r="F124" s="101"/>
      <c r="G124" s="100">
        <f t="shared" si="3"/>
        <v>285.04656557935834</v>
      </c>
      <c r="H124" s="100">
        <f t="shared" si="4"/>
        <v>23.75388046494653</v>
      </c>
      <c r="I124" s="124">
        <v>4840.7</v>
      </c>
      <c r="J124" s="11"/>
      <c r="K124" s="75"/>
    </row>
    <row r="125" spans="1:11" s="15" customFormat="1" ht="17.25" customHeight="1">
      <c r="A125" s="24" t="s">
        <v>113</v>
      </c>
      <c r="B125" s="19"/>
      <c r="C125" s="68"/>
      <c r="D125" s="113">
        <v>21145.05</v>
      </c>
      <c r="E125" s="100"/>
      <c r="F125" s="101"/>
      <c r="G125" s="100">
        <f t="shared" si="3"/>
        <v>5.035854628593203</v>
      </c>
      <c r="H125" s="100">
        <f t="shared" si="4"/>
        <v>0.4196545523827669</v>
      </c>
      <c r="I125" s="11">
        <v>4198.9</v>
      </c>
      <c r="J125" s="11"/>
      <c r="K125" s="75"/>
    </row>
    <row r="126" spans="1:11" s="15" customFormat="1" ht="17.25" customHeight="1">
      <c r="A126" s="24" t="s">
        <v>114</v>
      </c>
      <c r="B126" s="19"/>
      <c r="C126" s="68"/>
      <c r="D126" s="113">
        <v>126868.34</v>
      </c>
      <c r="E126" s="100"/>
      <c r="F126" s="101"/>
      <c r="G126" s="100">
        <f t="shared" si="3"/>
        <v>30.21466098263831</v>
      </c>
      <c r="H126" s="100">
        <v>2.51</v>
      </c>
      <c r="I126" s="11">
        <v>4198.9</v>
      </c>
      <c r="J126" s="11"/>
      <c r="K126" s="75"/>
    </row>
    <row r="127" spans="1:11" s="15" customFormat="1" ht="17.25" customHeight="1">
      <c r="A127" s="24" t="s">
        <v>115</v>
      </c>
      <c r="B127" s="19"/>
      <c r="C127" s="68"/>
      <c r="D127" s="113">
        <v>80035.4</v>
      </c>
      <c r="E127" s="100"/>
      <c r="F127" s="101"/>
      <c r="G127" s="100">
        <f t="shared" si="3"/>
        <v>16.533848410353873</v>
      </c>
      <c r="H127" s="100">
        <f t="shared" si="4"/>
        <v>1.3778207008628227</v>
      </c>
      <c r="I127" s="11">
        <v>4840.7</v>
      </c>
      <c r="J127" s="11"/>
      <c r="K127" s="75"/>
    </row>
    <row r="128" spans="1:11" s="15" customFormat="1" ht="17.25" customHeight="1">
      <c r="A128" s="24" t="s">
        <v>133</v>
      </c>
      <c r="B128" s="19"/>
      <c r="C128" s="68"/>
      <c r="D128" s="113">
        <v>22577.11</v>
      </c>
      <c r="E128" s="100"/>
      <c r="F128" s="125"/>
      <c r="G128" s="100">
        <f t="shared" si="3"/>
        <v>4.6640176007602205</v>
      </c>
      <c r="H128" s="100">
        <f t="shared" si="4"/>
        <v>0.38866813339668504</v>
      </c>
      <c r="I128" s="11">
        <v>4840.7</v>
      </c>
      <c r="J128" s="11"/>
      <c r="K128" s="75"/>
    </row>
    <row r="129" spans="1:11" s="15" customFormat="1" ht="25.5" customHeight="1">
      <c r="A129" s="24" t="s">
        <v>135</v>
      </c>
      <c r="B129" s="19"/>
      <c r="C129" s="68"/>
      <c r="D129" s="113">
        <v>24786.16</v>
      </c>
      <c r="E129" s="100"/>
      <c r="F129" s="125"/>
      <c r="G129" s="100">
        <f t="shared" si="3"/>
        <v>5.12036688908629</v>
      </c>
      <c r="H129" s="100">
        <f t="shared" si="4"/>
        <v>0.4266972407571908</v>
      </c>
      <c r="I129" s="11">
        <v>4840.7</v>
      </c>
      <c r="J129" s="11"/>
      <c r="K129" s="75"/>
    </row>
    <row r="130" spans="1:11" s="15" customFormat="1" ht="17.25" customHeight="1">
      <c r="A130" s="24" t="s">
        <v>116</v>
      </c>
      <c r="B130" s="19"/>
      <c r="C130" s="68"/>
      <c r="D130" s="96">
        <f>46549*1.066</f>
        <v>49621.234000000004</v>
      </c>
      <c r="E130" s="96"/>
      <c r="F130" s="96"/>
      <c r="G130" s="100">
        <f t="shared" si="3"/>
        <v>11.81767462906952</v>
      </c>
      <c r="H130" s="100">
        <f t="shared" si="4"/>
        <v>0.9848062190891267</v>
      </c>
      <c r="I130" s="11">
        <v>4198.9</v>
      </c>
      <c r="J130" s="11"/>
      <c r="K130" s="75"/>
    </row>
    <row r="131" spans="1:11" s="15" customFormat="1" ht="17.25" customHeight="1">
      <c r="A131" s="24" t="s">
        <v>117</v>
      </c>
      <c r="B131" s="19"/>
      <c r="C131" s="68"/>
      <c r="D131" s="96">
        <v>110721</v>
      </c>
      <c r="E131" s="96"/>
      <c r="F131" s="96"/>
      <c r="G131" s="96">
        <f t="shared" si="3"/>
        <v>26.36904903665246</v>
      </c>
      <c r="H131" s="96">
        <f t="shared" si="4"/>
        <v>2.1974207530543715</v>
      </c>
      <c r="I131" s="11">
        <v>4198.9</v>
      </c>
      <c r="J131" s="11"/>
      <c r="K131" s="75"/>
    </row>
    <row r="132" spans="1:11" s="15" customFormat="1" ht="17.25" customHeight="1" hidden="1">
      <c r="A132" s="24"/>
      <c r="B132" s="19"/>
      <c r="C132" s="68"/>
      <c r="D132" s="19"/>
      <c r="E132" s="19"/>
      <c r="F132" s="19"/>
      <c r="G132" s="100">
        <f t="shared" si="3"/>
        <v>0</v>
      </c>
      <c r="H132" s="68">
        <f>D132/I132/12</f>
        <v>0</v>
      </c>
      <c r="I132" s="11">
        <v>4198.9</v>
      </c>
      <c r="J132" s="11"/>
      <c r="K132" s="75"/>
    </row>
    <row r="133" spans="1:11" s="31" customFormat="1" ht="12.75">
      <c r="A133" s="30"/>
      <c r="F133" s="32"/>
      <c r="H133" s="32"/>
      <c r="K133" s="82"/>
    </row>
    <row r="134" spans="1:11" s="31" customFormat="1" ht="13.5" thickBot="1">
      <c r="A134" s="30"/>
      <c r="F134" s="32"/>
      <c r="H134" s="32"/>
      <c r="K134" s="82"/>
    </row>
    <row r="135" spans="1:11" s="31" customFormat="1" ht="20.25" thickBot="1">
      <c r="A135" s="62" t="s">
        <v>99</v>
      </c>
      <c r="B135" s="63"/>
      <c r="C135" s="63"/>
      <c r="D135" s="64">
        <f>D108+D116</f>
        <v>3487410.152</v>
      </c>
      <c r="E135" s="64" t="e">
        <f>E108+E116</f>
        <v>#REF!</v>
      </c>
      <c r="F135" s="64" t="e">
        <f>F108+F116</f>
        <v>#REF!</v>
      </c>
      <c r="G135" s="64">
        <f>G108+G116</f>
        <v>600.0038763332824</v>
      </c>
      <c r="H135" s="64">
        <f>H108+H116</f>
        <v>50.01</v>
      </c>
      <c r="K135" s="82"/>
    </row>
    <row r="136" spans="1:11" s="31" customFormat="1" ht="12.75">
      <c r="A136" s="30"/>
      <c r="F136" s="32"/>
      <c r="H136" s="32"/>
      <c r="K136" s="82"/>
    </row>
    <row r="137" spans="1:11" s="31" customFormat="1" ht="12.75">
      <c r="A137" s="30"/>
      <c r="F137" s="32"/>
      <c r="H137" s="32"/>
      <c r="K137" s="82"/>
    </row>
    <row r="138" spans="1:11" s="31" customFormat="1" ht="12.75">
      <c r="A138" s="30"/>
      <c r="F138" s="32"/>
      <c r="H138" s="32"/>
      <c r="K138" s="82"/>
    </row>
    <row r="139" spans="1:11" s="31" customFormat="1" ht="12.75">
      <c r="A139" s="30"/>
      <c r="F139" s="32"/>
      <c r="H139" s="32"/>
      <c r="K139" s="82"/>
    </row>
    <row r="140" spans="1:11" s="28" customFormat="1" ht="18.75">
      <c r="A140" s="30"/>
      <c r="B140" s="31"/>
      <c r="C140" s="31"/>
      <c r="D140" s="31"/>
      <c r="E140" s="31"/>
      <c r="F140" s="32"/>
      <c r="G140" s="31"/>
      <c r="H140" s="32"/>
      <c r="K140" s="83"/>
    </row>
    <row r="141" spans="1:11" s="29" customFormat="1" ht="19.5">
      <c r="A141" s="66"/>
      <c r="B141" s="33"/>
      <c r="C141" s="33"/>
      <c r="D141" s="33"/>
      <c r="E141" s="33"/>
      <c r="F141" s="67"/>
      <c r="G141" s="33"/>
      <c r="H141" s="67"/>
      <c r="K141" s="81"/>
    </row>
    <row r="142" spans="1:11" s="29" customFormat="1" ht="19.5">
      <c r="A142" s="66"/>
      <c r="B142" s="33"/>
      <c r="C142" s="33"/>
      <c r="D142" s="33"/>
      <c r="E142" s="33"/>
      <c r="F142" s="67"/>
      <c r="G142" s="33"/>
      <c r="H142" s="67"/>
      <c r="K142" s="81"/>
    </row>
    <row r="143" spans="1:11" s="29" customFormat="1" ht="19.5">
      <c r="A143" s="66"/>
      <c r="B143" s="33"/>
      <c r="C143" s="33"/>
      <c r="D143" s="33"/>
      <c r="E143" s="33"/>
      <c r="F143" s="67"/>
      <c r="G143" s="33"/>
      <c r="H143" s="67"/>
      <c r="K143" s="81"/>
    </row>
    <row r="144" spans="1:11" s="29" customFormat="1" ht="19.5">
      <c r="A144" s="66"/>
      <c r="B144" s="33"/>
      <c r="C144" s="33"/>
      <c r="D144" s="33"/>
      <c r="E144" s="33"/>
      <c r="F144" s="67"/>
      <c r="G144" s="33"/>
      <c r="H144" s="67"/>
      <c r="K144" s="81"/>
    </row>
    <row r="145" spans="1:11" s="31" customFormat="1" ht="14.25">
      <c r="A145" s="139" t="s">
        <v>31</v>
      </c>
      <c r="B145" s="139"/>
      <c r="C145" s="139"/>
      <c r="D145" s="139"/>
      <c r="E145" s="139"/>
      <c r="F145" s="139"/>
      <c r="K145" s="82"/>
    </row>
    <row r="146" spans="6:11" s="31" customFormat="1" ht="12.75">
      <c r="F146" s="32"/>
      <c r="H146" s="32"/>
      <c r="K146" s="82"/>
    </row>
    <row r="147" spans="1:11" s="31" customFormat="1" ht="12.75">
      <c r="A147" s="30" t="s">
        <v>32</v>
      </c>
      <c r="F147" s="32"/>
      <c r="H147" s="32"/>
      <c r="K147" s="82"/>
    </row>
    <row r="148" spans="6:11" s="31" customFormat="1" ht="12.75">
      <c r="F148" s="32"/>
      <c r="H148" s="32"/>
      <c r="K148" s="82"/>
    </row>
    <row r="149" spans="6:11" s="31" customFormat="1" ht="12.75">
      <c r="F149" s="32"/>
      <c r="H149" s="32"/>
      <c r="K149" s="82"/>
    </row>
    <row r="150" spans="6:11" s="31" customFormat="1" ht="12.75">
      <c r="F150" s="32"/>
      <c r="H150" s="32"/>
      <c r="K150" s="82"/>
    </row>
    <row r="151" spans="6:11" s="31" customFormat="1" ht="12.75">
      <c r="F151" s="32"/>
      <c r="H151" s="32"/>
      <c r="K151" s="82"/>
    </row>
    <row r="152" spans="6:11" s="31" customFormat="1" ht="12.75">
      <c r="F152" s="32"/>
      <c r="H152" s="32"/>
      <c r="K152" s="82"/>
    </row>
    <row r="153" spans="6:11" s="31" customFormat="1" ht="12.75">
      <c r="F153" s="32"/>
      <c r="H153" s="32"/>
      <c r="K153" s="82"/>
    </row>
    <row r="154" spans="6:11" s="31" customFormat="1" ht="12.75">
      <c r="F154" s="32"/>
      <c r="H154" s="32"/>
      <c r="K154" s="82"/>
    </row>
    <row r="155" spans="6:11" s="31" customFormat="1" ht="12.75">
      <c r="F155" s="32"/>
      <c r="H155" s="32"/>
      <c r="K155" s="82"/>
    </row>
    <row r="156" spans="6:11" s="31" customFormat="1" ht="12.75">
      <c r="F156" s="32"/>
      <c r="H156" s="32"/>
      <c r="K156" s="82"/>
    </row>
    <row r="157" spans="6:11" s="31" customFormat="1" ht="12.75">
      <c r="F157" s="32"/>
      <c r="H157" s="32"/>
      <c r="K157" s="82"/>
    </row>
    <row r="158" spans="6:11" s="31" customFormat="1" ht="12.75">
      <c r="F158" s="32"/>
      <c r="H158" s="32"/>
      <c r="K158" s="82"/>
    </row>
    <row r="159" spans="6:11" s="31" customFormat="1" ht="12.75">
      <c r="F159" s="32"/>
      <c r="H159" s="32"/>
      <c r="K159" s="82"/>
    </row>
    <row r="160" spans="6:11" s="31" customFormat="1" ht="12.75">
      <c r="F160" s="32"/>
      <c r="H160" s="32"/>
      <c r="K160" s="82"/>
    </row>
    <row r="161" spans="6:11" s="31" customFormat="1" ht="12.75">
      <c r="F161" s="32"/>
      <c r="H161" s="32"/>
      <c r="K161" s="82"/>
    </row>
    <row r="162" spans="6:11" s="31" customFormat="1" ht="12.75">
      <c r="F162" s="32"/>
      <c r="H162" s="32"/>
      <c r="K162" s="82"/>
    </row>
    <row r="163" spans="6:11" s="31" customFormat="1" ht="12.75">
      <c r="F163" s="32"/>
      <c r="H163" s="32"/>
      <c r="K163" s="82"/>
    </row>
    <row r="164" spans="6:11" s="31" customFormat="1" ht="12.75">
      <c r="F164" s="32"/>
      <c r="H164" s="32"/>
      <c r="K164" s="82"/>
    </row>
    <row r="165" spans="6:11" s="31" customFormat="1" ht="12.75">
      <c r="F165" s="32"/>
      <c r="H165" s="32"/>
      <c r="K165" s="82"/>
    </row>
  </sheetData>
  <sheetProtection/>
  <mergeCells count="12">
    <mergeCell ref="A1:H1"/>
    <mergeCell ref="B2:H2"/>
    <mergeCell ref="B3:H3"/>
    <mergeCell ref="B4:H4"/>
    <mergeCell ref="A5:H5"/>
    <mergeCell ref="A6:H6"/>
    <mergeCell ref="A8:H8"/>
    <mergeCell ref="A9:H9"/>
    <mergeCell ref="A10:H10"/>
    <mergeCell ref="A11:H11"/>
    <mergeCell ref="A14:H14"/>
    <mergeCell ref="A145:F145"/>
  </mergeCells>
  <printOptions horizontalCentered="1"/>
  <pageMargins left="0.2" right="0.2" top="0.1968503937007874" bottom="0.2" header="0.2" footer="0.2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30"/>
  <sheetViews>
    <sheetView tabSelected="1" zoomScale="75" zoomScaleNormal="75" zoomScalePageLayoutView="0" workbookViewId="0" topLeftCell="A1">
      <selection activeCell="A1" sqref="A1:H122"/>
    </sheetView>
  </sheetViews>
  <sheetFormatPr defaultColWidth="9.00390625" defaultRowHeight="12.75"/>
  <cols>
    <col min="1" max="1" width="72.75390625" style="1" customWidth="1"/>
    <col min="2" max="2" width="19.125" style="1" customWidth="1"/>
    <col min="3" max="3" width="13.875" style="1" hidden="1" customWidth="1"/>
    <col min="4" max="4" width="16.125" style="1" customWidth="1"/>
    <col min="5" max="5" width="13.875" style="1" hidden="1" customWidth="1"/>
    <col min="6" max="6" width="20.875" style="34" hidden="1" customWidth="1"/>
    <col min="7" max="7" width="13.875" style="1" customWidth="1"/>
    <col min="8" max="8" width="20.875" style="34" customWidth="1"/>
    <col min="9" max="9" width="15.375" style="1" customWidth="1"/>
    <col min="10" max="10" width="15.375" style="1" hidden="1" customWidth="1"/>
    <col min="11" max="11" width="15.375" style="76" hidden="1" customWidth="1"/>
    <col min="12" max="14" width="15.375" style="1" customWidth="1"/>
    <col min="15" max="16384" width="9.125" style="1" customWidth="1"/>
  </cols>
  <sheetData>
    <row r="1" spans="1:8" ht="16.5" customHeight="1">
      <c r="A1" s="140" t="s">
        <v>0</v>
      </c>
      <c r="B1" s="141"/>
      <c r="C1" s="141"/>
      <c r="D1" s="141"/>
      <c r="E1" s="141"/>
      <c r="F1" s="141"/>
      <c r="G1" s="141"/>
      <c r="H1" s="141"/>
    </row>
    <row r="2" spans="2:8" ht="12.75" customHeight="1">
      <c r="B2" s="142" t="s">
        <v>1</v>
      </c>
      <c r="C2" s="142"/>
      <c r="D2" s="142"/>
      <c r="E2" s="142"/>
      <c r="F2" s="142"/>
      <c r="G2" s="141"/>
      <c r="H2" s="141"/>
    </row>
    <row r="3" spans="1:8" ht="22.5" customHeight="1">
      <c r="A3" s="111" t="s">
        <v>129</v>
      </c>
      <c r="B3" s="142" t="s">
        <v>2</v>
      </c>
      <c r="C3" s="142"/>
      <c r="D3" s="142"/>
      <c r="E3" s="142"/>
      <c r="F3" s="142"/>
      <c r="G3" s="141"/>
      <c r="H3" s="141"/>
    </row>
    <row r="4" spans="2:8" ht="14.25" customHeight="1">
      <c r="B4" s="142" t="s">
        <v>35</v>
      </c>
      <c r="C4" s="142"/>
      <c r="D4" s="142"/>
      <c r="E4" s="142"/>
      <c r="F4" s="142"/>
      <c r="G4" s="141"/>
      <c r="H4" s="141"/>
    </row>
    <row r="5" spans="1:11" ht="39.75" customHeight="1">
      <c r="A5" s="143"/>
      <c r="B5" s="144"/>
      <c r="C5" s="144"/>
      <c r="D5" s="144"/>
      <c r="E5" s="144"/>
      <c r="F5" s="144"/>
      <c r="G5" s="144"/>
      <c r="H5" s="144"/>
      <c r="K5" s="1"/>
    </row>
    <row r="6" spans="1:11" ht="24.75" customHeight="1">
      <c r="A6" s="145" t="s">
        <v>134</v>
      </c>
      <c r="B6" s="145"/>
      <c r="C6" s="145"/>
      <c r="D6" s="145"/>
      <c r="E6" s="145"/>
      <c r="F6" s="145"/>
      <c r="G6" s="145"/>
      <c r="H6" s="145"/>
      <c r="K6" s="1"/>
    </row>
    <row r="7" spans="2:9" ht="35.25" customHeight="1" hidden="1">
      <c r="B7" s="2"/>
      <c r="C7" s="2"/>
      <c r="D7" s="2"/>
      <c r="E7" s="2"/>
      <c r="F7" s="3"/>
      <c r="G7" s="2"/>
      <c r="H7" s="2"/>
      <c r="I7" s="2"/>
    </row>
    <row r="8" spans="1:11" s="4" customFormat="1" ht="22.5" customHeight="1">
      <c r="A8" s="129" t="s">
        <v>3</v>
      </c>
      <c r="B8" s="129"/>
      <c r="C8" s="129"/>
      <c r="D8" s="129"/>
      <c r="E8" s="130"/>
      <c r="F8" s="130"/>
      <c r="G8" s="130"/>
      <c r="H8" s="130"/>
      <c r="K8" s="77"/>
    </row>
    <row r="9" spans="1:8" s="5" customFormat="1" ht="18.75" customHeight="1">
      <c r="A9" s="129" t="s">
        <v>81</v>
      </c>
      <c r="B9" s="129"/>
      <c r="C9" s="129"/>
      <c r="D9" s="129"/>
      <c r="E9" s="130"/>
      <c r="F9" s="130"/>
      <c r="G9" s="130"/>
      <c r="H9" s="130"/>
    </row>
    <row r="10" spans="1:8" s="6" customFormat="1" ht="17.25" customHeight="1">
      <c r="A10" s="131" t="s">
        <v>76</v>
      </c>
      <c r="B10" s="131"/>
      <c r="C10" s="131"/>
      <c r="D10" s="131"/>
      <c r="E10" s="132"/>
      <c r="F10" s="132"/>
      <c r="G10" s="132"/>
      <c r="H10" s="132"/>
    </row>
    <row r="11" spans="1:8" s="5" customFormat="1" ht="30" customHeight="1" thickBot="1">
      <c r="A11" s="133" t="s">
        <v>82</v>
      </c>
      <c r="B11" s="133"/>
      <c r="C11" s="133"/>
      <c r="D11" s="133"/>
      <c r="E11" s="134"/>
      <c r="F11" s="134"/>
      <c r="G11" s="134"/>
      <c r="H11" s="134"/>
    </row>
    <row r="12" spans="1:11" s="11" customFormat="1" ht="139.5" customHeight="1" thickBot="1">
      <c r="A12" s="7" t="s">
        <v>4</v>
      </c>
      <c r="B12" s="8" t="s">
        <v>5</v>
      </c>
      <c r="C12" s="9" t="s">
        <v>6</v>
      </c>
      <c r="D12" s="9" t="s">
        <v>36</v>
      </c>
      <c r="E12" s="9" t="s">
        <v>6</v>
      </c>
      <c r="F12" s="10" t="s">
        <v>7</v>
      </c>
      <c r="G12" s="9" t="s">
        <v>6</v>
      </c>
      <c r="H12" s="10" t="s">
        <v>7</v>
      </c>
      <c r="K12" s="75"/>
    </row>
    <row r="13" spans="1:11" s="15" customFormat="1" ht="12.75">
      <c r="A13" s="12">
        <v>1</v>
      </c>
      <c r="B13" s="13">
        <v>2</v>
      </c>
      <c r="C13" s="13">
        <v>3</v>
      </c>
      <c r="D13" s="38"/>
      <c r="E13" s="13">
        <v>3</v>
      </c>
      <c r="F13" s="14">
        <v>4</v>
      </c>
      <c r="G13" s="39">
        <v>3</v>
      </c>
      <c r="H13" s="42">
        <v>4</v>
      </c>
      <c r="K13" s="78"/>
    </row>
    <row r="14" spans="1:11" s="15" customFormat="1" ht="49.5" customHeight="1">
      <c r="A14" s="135" t="s">
        <v>8</v>
      </c>
      <c r="B14" s="136"/>
      <c r="C14" s="136"/>
      <c r="D14" s="136"/>
      <c r="E14" s="136"/>
      <c r="F14" s="136"/>
      <c r="G14" s="137"/>
      <c r="H14" s="138"/>
      <c r="K14" s="78"/>
    </row>
    <row r="15" spans="1:12" s="11" customFormat="1" ht="15">
      <c r="A15" s="17" t="s">
        <v>131</v>
      </c>
      <c r="B15" s="21"/>
      <c r="C15" s="16">
        <f>F15*12</f>
        <v>0</v>
      </c>
      <c r="D15" s="87">
        <f>G15*I15</f>
        <v>134532.756</v>
      </c>
      <c r="E15" s="86">
        <f>H15*12</f>
        <v>32.04</v>
      </c>
      <c r="F15" s="88"/>
      <c r="G15" s="86">
        <f>H15*12</f>
        <v>32.04</v>
      </c>
      <c r="H15" s="86">
        <f>H20+H22</f>
        <v>2.67</v>
      </c>
      <c r="I15" s="11">
        <v>4198.9</v>
      </c>
      <c r="J15" s="11">
        <v>1.07</v>
      </c>
      <c r="K15" s="75">
        <v>2.2363</v>
      </c>
      <c r="L15" s="11">
        <v>4840.7</v>
      </c>
    </row>
    <row r="16" spans="1:11" s="11" customFormat="1" ht="29.25" customHeight="1">
      <c r="A16" s="50" t="s">
        <v>84</v>
      </c>
      <c r="B16" s="51" t="s">
        <v>85</v>
      </c>
      <c r="C16" s="52"/>
      <c r="D16" s="90"/>
      <c r="E16" s="89"/>
      <c r="F16" s="91"/>
      <c r="G16" s="89"/>
      <c r="H16" s="89"/>
      <c r="K16" s="75"/>
    </row>
    <row r="17" spans="1:11" s="11" customFormat="1" ht="15">
      <c r="A17" s="50" t="s">
        <v>86</v>
      </c>
      <c r="B17" s="51" t="s">
        <v>85</v>
      </c>
      <c r="C17" s="52"/>
      <c r="D17" s="90"/>
      <c r="E17" s="89"/>
      <c r="F17" s="91"/>
      <c r="G17" s="89"/>
      <c r="H17" s="89"/>
      <c r="K17" s="75"/>
    </row>
    <row r="18" spans="1:11" s="11" customFormat="1" ht="15">
      <c r="A18" s="50" t="s">
        <v>87</v>
      </c>
      <c r="B18" s="51" t="s">
        <v>88</v>
      </c>
      <c r="C18" s="52"/>
      <c r="D18" s="90"/>
      <c r="E18" s="89"/>
      <c r="F18" s="91"/>
      <c r="G18" s="89"/>
      <c r="H18" s="89"/>
      <c r="K18" s="75"/>
    </row>
    <row r="19" spans="1:11" s="11" customFormat="1" ht="15">
      <c r="A19" s="50" t="s">
        <v>89</v>
      </c>
      <c r="B19" s="51" t="s">
        <v>85</v>
      </c>
      <c r="C19" s="52"/>
      <c r="D19" s="90"/>
      <c r="E19" s="89"/>
      <c r="F19" s="91"/>
      <c r="G19" s="89"/>
      <c r="H19" s="89"/>
      <c r="K19" s="75"/>
    </row>
    <row r="20" spans="1:11" s="11" customFormat="1" ht="15">
      <c r="A20" s="17" t="s">
        <v>130</v>
      </c>
      <c r="B20" s="18"/>
      <c r="C20" s="16"/>
      <c r="D20" s="87"/>
      <c r="E20" s="86"/>
      <c r="F20" s="88"/>
      <c r="G20" s="86"/>
      <c r="H20" s="86">
        <v>2.56</v>
      </c>
      <c r="K20" s="75"/>
    </row>
    <row r="21" spans="1:11" s="11" customFormat="1" ht="15">
      <c r="A21" s="50" t="s">
        <v>118</v>
      </c>
      <c r="B21" s="51" t="s">
        <v>85</v>
      </c>
      <c r="C21" s="52"/>
      <c r="D21" s="90"/>
      <c r="E21" s="89"/>
      <c r="F21" s="91"/>
      <c r="G21" s="89"/>
      <c r="H21" s="89"/>
      <c r="K21" s="75"/>
    </row>
    <row r="22" spans="1:11" s="11" customFormat="1" ht="15">
      <c r="A22" s="17" t="s">
        <v>130</v>
      </c>
      <c r="B22" s="18"/>
      <c r="C22" s="16"/>
      <c r="D22" s="87"/>
      <c r="E22" s="86"/>
      <c r="F22" s="88"/>
      <c r="G22" s="86"/>
      <c r="H22" s="86">
        <v>0.11</v>
      </c>
      <c r="K22" s="75"/>
    </row>
    <row r="23" spans="1:11" s="11" customFormat="1" ht="30">
      <c r="A23" s="17" t="s">
        <v>10</v>
      </c>
      <c r="B23" s="18"/>
      <c r="C23" s="16">
        <f>F23*12</f>
        <v>0</v>
      </c>
      <c r="D23" s="87">
        <f>G23*I23</f>
        <v>117401.24399999999</v>
      </c>
      <c r="E23" s="86">
        <f>H23*12</f>
        <v>27.96</v>
      </c>
      <c r="F23" s="88"/>
      <c r="G23" s="86">
        <f>H23*12</f>
        <v>27.96</v>
      </c>
      <c r="H23" s="86">
        <v>2.33</v>
      </c>
      <c r="I23" s="11">
        <v>4198.9</v>
      </c>
      <c r="J23" s="11">
        <v>1.07</v>
      </c>
      <c r="K23" s="75">
        <v>2.0437</v>
      </c>
    </row>
    <row r="24" spans="1:11" s="56" customFormat="1" ht="15">
      <c r="A24" s="53" t="s">
        <v>90</v>
      </c>
      <c r="B24" s="54" t="s">
        <v>11</v>
      </c>
      <c r="C24" s="55"/>
      <c r="D24" s="87"/>
      <c r="E24" s="86"/>
      <c r="F24" s="88"/>
      <c r="G24" s="86"/>
      <c r="H24" s="86"/>
      <c r="K24" s="79"/>
    </row>
    <row r="25" spans="1:11" s="56" customFormat="1" ht="15">
      <c r="A25" s="53" t="s">
        <v>91</v>
      </c>
      <c r="B25" s="54" t="s">
        <v>11</v>
      </c>
      <c r="C25" s="55"/>
      <c r="D25" s="87"/>
      <c r="E25" s="86"/>
      <c r="F25" s="88"/>
      <c r="G25" s="86"/>
      <c r="H25" s="86"/>
      <c r="K25" s="79"/>
    </row>
    <row r="26" spans="1:11" s="56" customFormat="1" ht="15">
      <c r="A26" s="53" t="s">
        <v>92</v>
      </c>
      <c r="B26" s="54" t="s">
        <v>11</v>
      </c>
      <c r="C26" s="55"/>
      <c r="D26" s="87"/>
      <c r="E26" s="86"/>
      <c r="F26" s="88"/>
      <c r="G26" s="86"/>
      <c r="H26" s="86"/>
      <c r="K26" s="79"/>
    </row>
    <row r="27" spans="1:11" s="56" customFormat="1" ht="25.5">
      <c r="A27" s="53" t="s">
        <v>93</v>
      </c>
      <c r="B27" s="54" t="s">
        <v>12</v>
      </c>
      <c r="C27" s="55"/>
      <c r="D27" s="87"/>
      <c r="E27" s="86"/>
      <c r="F27" s="88"/>
      <c r="G27" s="86"/>
      <c r="H27" s="86"/>
      <c r="K27" s="79"/>
    </row>
    <row r="28" spans="1:11" s="56" customFormat="1" ht="15">
      <c r="A28" s="53" t="s">
        <v>94</v>
      </c>
      <c r="B28" s="54" t="s">
        <v>11</v>
      </c>
      <c r="C28" s="55"/>
      <c r="D28" s="87"/>
      <c r="E28" s="86"/>
      <c r="F28" s="88"/>
      <c r="G28" s="86"/>
      <c r="H28" s="86"/>
      <c r="K28" s="79"/>
    </row>
    <row r="29" spans="1:11" s="11" customFormat="1" ht="15">
      <c r="A29" s="57" t="s">
        <v>95</v>
      </c>
      <c r="B29" s="58" t="s">
        <v>11</v>
      </c>
      <c r="C29" s="16"/>
      <c r="D29" s="87"/>
      <c r="E29" s="86"/>
      <c r="F29" s="88"/>
      <c r="G29" s="86"/>
      <c r="H29" s="86"/>
      <c r="K29" s="75"/>
    </row>
    <row r="30" spans="1:11" s="56" customFormat="1" ht="26.25" thickBot="1">
      <c r="A30" s="59" t="s">
        <v>96</v>
      </c>
      <c r="B30" s="60" t="s">
        <v>97</v>
      </c>
      <c r="C30" s="55"/>
      <c r="D30" s="87"/>
      <c r="E30" s="86"/>
      <c r="F30" s="88"/>
      <c r="G30" s="86"/>
      <c r="H30" s="86"/>
      <c r="K30" s="79"/>
    </row>
    <row r="31" spans="1:12" s="22" customFormat="1" ht="15">
      <c r="A31" s="20" t="s">
        <v>13</v>
      </c>
      <c r="B31" s="21" t="s">
        <v>14</v>
      </c>
      <c r="C31" s="16">
        <f>F31*12</f>
        <v>0</v>
      </c>
      <c r="D31" s="87">
        <f>G31*I31</f>
        <v>34263.024</v>
      </c>
      <c r="E31" s="86">
        <f>H31*12</f>
        <v>8.16</v>
      </c>
      <c r="F31" s="92"/>
      <c r="G31" s="86">
        <f>H31*12</f>
        <v>8.16</v>
      </c>
      <c r="H31" s="86">
        <v>0.68</v>
      </c>
      <c r="I31" s="11">
        <v>4198.9</v>
      </c>
      <c r="J31" s="11">
        <v>1.07</v>
      </c>
      <c r="K31" s="75">
        <v>0.5992000000000001</v>
      </c>
      <c r="L31" s="22">
        <v>4840.7</v>
      </c>
    </row>
    <row r="32" spans="1:12" s="11" customFormat="1" ht="15">
      <c r="A32" s="20" t="s">
        <v>15</v>
      </c>
      <c r="B32" s="21" t="s">
        <v>16</v>
      </c>
      <c r="C32" s="16">
        <f>F32*12</f>
        <v>0</v>
      </c>
      <c r="D32" s="87">
        <f>G32*I32</f>
        <v>111858.696</v>
      </c>
      <c r="E32" s="86">
        <f>H32*12</f>
        <v>26.64</v>
      </c>
      <c r="F32" s="92"/>
      <c r="G32" s="86">
        <f>H32*12</f>
        <v>26.64</v>
      </c>
      <c r="H32" s="86">
        <v>2.22</v>
      </c>
      <c r="I32" s="11">
        <v>4198.9</v>
      </c>
      <c r="J32" s="11">
        <v>1.07</v>
      </c>
      <c r="K32" s="75">
        <v>1.9367</v>
      </c>
      <c r="L32" s="11">
        <v>4840.7</v>
      </c>
    </row>
    <row r="33" spans="1:12" s="15" customFormat="1" ht="30">
      <c r="A33" s="20" t="s">
        <v>51</v>
      </c>
      <c r="B33" s="21" t="s">
        <v>9</v>
      </c>
      <c r="C33" s="23"/>
      <c r="D33" s="87">
        <f>1848.15*I33/L33</f>
        <v>1603.1146394116554</v>
      </c>
      <c r="E33" s="93">
        <f>H33*12</f>
        <v>0.38179395541967076</v>
      </c>
      <c r="F33" s="92"/>
      <c r="G33" s="86">
        <f aca="true" t="shared" si="0" ref="G33:G40">D33/I33</f>
        <v>0.38179395541967076</v>
      </c>
      <c r="H33" s="86">
        <f aca="true" t="shared" si="1" ref="H33:H40">G33/12</f>
        <v>0.03181616295163923</v>
      </c>
      <c r="I33" s="11">
        <v>4198.9</v>
      </c>
      <c r="J33" s="11">
        <v>1.07</v>
      </c>
      <c r="K33" s="75">
        <v>0.032100000000000004</v>
      </c>
      <c r="L33" s="15">
        <v>4840.7</v>
      </c>
    </row>
    <row r="34" spans="1:11" s="15" customFormat="1" ht="30">
      <c r="A34" s="20" t="s">
        <v>75</v>
      </c>
      <c r="B34" s="21" t="s">
        <v>9</v>
      </c>
      <c r="C34" s="23"/>
      <c r="D34" s="87">
        <f>1848.15</f>
        <v>1848.15</v>
      </c>
      <c r="E34" s="93">
        <f>H34*12</f>
        <v>0.440150991926457</v>
      </c>
      <c r="F34" s="92"/>
      <c r="G34" s="86">
        <f t="shared" si="0"/>
        <v>0.440150991926457</v>
      </c>
      <c r="H34" s="86">
        <f t="shared" si="1"/>
        <v>0.03667924932720475</v>
      </c>
      <c r="I34" s="11">
        <v>4198.9</v>
      </c>
      <c r="J34" s="11">
        <v>1.07</v>
      </c>
      <c r="K34" s="75">
        <v>0.032100000000000004</v>
      </c>
    </row>
    <row r="35" spans="1:12" s="15" customFormat="1" ht="17.25" customHeight="1">
      <c r="A35" s="20" t="s">
        <v>79</v>
      </c>
      <c r="B35" s="21" t="s">
        <v>9</v>
      </c>
      <c r="C35" s="23"/>
      <c r="D35" s="87">
        <f>11670.68*I35/L35</f>
        <v>10123.333041089098</v>
      </c>
      <c r="E35" s="93">
        <f>H35*12</f>
        <v>2.4109488297147106</v>
      </c>
      <c r="F35" s="92"/>
      <c r="G35" s="86">
        <f t="shared" si="0"/>
        <v>2.4109488297147106</v>
      </c>
      <c r="H35" s="86">
        <f t="shared" si="1"/>
        <v>0.20091240247622588</v>
      </c>
      <c r="I35" s="11">
        <v>4198.9</v>
      </c>
      <c r="J35" s="11">
        <v>1.07</v>
      </c>
      <c r="K35" s="75">
        <v>0.17120000000000002</v>
      </c>
      <c r="L35" s="15">
        <v>4840.7</v>
      </c>
    </row>
    <row r="36" spans="1:11" s="15" customFormat="1" ht="30" hidden="1">
      <c r="A36" s="20" t="s">
        <v>52</v>
      </c>
      <c r="B36" s="21" t="s">
        <v>12</v>
      </c>
      <c r="C36" s="23"/>
      <c r="D36" s="87">
        <f>G36*I36</f>
        <v>0</v>
      </c>
      <c r="E36" s="93"/>
      <c r="F36" s="92"/>
      <c r="G36" s="86">
        <f t="shared" si="0"/>
        <v>2.410948829714711</v>
      </c>
      <c r="H36" s="86">
        <f t="shared" si="1"/>
        <v>0.2009124024762259</v>
      </c>
      <c r="I36" s="11">
        <v>4198.9</v>
      </c>
      <c r="J36" s="11">
        <v>1.07</v>
      </c>
      <c r="K36" s="75">
        <v>0</v>
      </c>
    </row>
    <row r="37" spans="1:11" s="15" customFormat="1" ht="30" hidden="1">
      <c r="A37" s="20" t="s">
        <v>53</v>
      </c>
      <c r="B37" s="21" t="s">
        <v>12</v>
      </c>
      <c r="C37" s="23"/>
      <c r="D37" s="87">
        <f>G37*I37</f>
        <v>0</v>
      </c>
      <c r="E37" s="93"/>
      <c r="F37" s="92"/>
      <c r="G37" s="86">
        <f t="shared" si="0"/>
        <v>2.410948829714711</v>
      </c>
      <c r="H37" s="86">
        <f t="shared" si="1"/>
        <v>0.2009124024762259</v>
      </c>
      <c r="I37" s="11">
        <v>4198.9</v>
      </c>
      <c r="J37" s="11">
        <v>1.07</v>
      </c>
      <c r="K37" s="75">
        <v>0</v>
      </c>
    </row>
    <row r="38" spans="1:12" s="15" customFormat="1" ht="30">
      <c r="A38" s="20" t="s">
        <v>120</v>
      </c>
      <c r="B38" s="21" t="s">
        <v>12</v>
      </c>
      <c r="C38" s="23"/>
      <c r="D38" s="87">
        <f>3305.23*I38/L38</f>
        <v>2867.0089546966346</v>
      </c>
      <c r="E38" s="93"/>
      <c r="F38" s="92"/>
      <c r="G38" s="86">
        <f t="shared" si="0"/>
        <v>0.6828000082632677</v>
      </c>
      <c r="H38" s="86">
        <f t="shared" si="1"/>
        <v>0.056900000688605644</v>
      </c>
      <c r="I38" s="11">
        <v>4198.9</v>
      </c>
      <c r="J38" s="11"/>
      <c r="K38" s="75"/>
      <c r="L38" s="15">
        <v>4840.7</v>
      </c>
    </row>
    <row r="39" spans="1:11" s="15" customFormat="1" ht="30">
      <c r="A39" s="20" t="s">
        <v>53</v>
      </c>
      <c r="B39" s="21" t="s">
        <v>12</v>
      </c>
      <c r="C39" s="23"/>
      <c r="D39" s="87">
        <v>3305.23</v>
      </c>
      <c r="E39" s="93"/>
      <c r="F39" s="92"/>
      <c r="G39" s="86">
        <f t="shared" si="0"/>
        <v>0.7871656862511611</v>
      </c>
      <c r="H39" s="86">
        <f t="shared" si="1"/>
        <v>0.06559714052093009</v>
      </c>
      <c r="I39" s="11">
        <v>4198.9</v>
      </c>
      <c r="J39" s="11"/>
      <c r="K39" s="75"/>
    </row>
    <row r="40" spans="1:12" s="15" customFormat="1" ht="30">
      <c r="A40" s="20" t="s">
        <v>138</v>
      </c>
      <c r="B40" s="21" t="s">
        <v>12</v>
      </c>
      <c r="C40" s="23"/>
      <c r="D40" s="87">
        <f>70000*I40/L40</f>
        <v>60719.11087239449</v>
      </c>
      <c r="E40" s="93"/>
      <c r="F40" s="92"/>
      <c r="G40" s="86">
        <f t="shared" si="0"/>
        <v>14.460718491127318</v>
      </c>
      <c r="H40" s="86">
        <f t="shared" si="1"/>
        <v>1.2050598742606098</v>
      </c>
      <c r="I40" s="11">
        <v>4198.9</v>
      </c>
      <c r="J40" s="11"/>
      <c r="K40" s="75"/>
      <c r="L40" s="15">
        <v>4840.7</v>
      </c>
    </row>
    <row r="41" spans="1:11" s="15" customFormat="1" ht="30">
      <c r="A41" s="20" t="s">
        <v>23</v>
      </c>
      <c r="B41" s="21"/>
      <c r="C41" s="23">
        <f>F41*12</f>
        <v>0</v>
      </c>
      <c r="D41" s="87">
        <f>G41*I41</f>
        <v>9573.492</v>
      </c>
      <c r="E41" s="93">
        <f>H41*12</f>
        <v>2.2800000000000002</v>
      </c>
      <c r="F41" s="92"/>
      <c r="G41" s="86">
        <f>H41*12</f>
        <v>2.2800000000000002</v>
      </c>
      <c r="H41" s="86">
        <v>0.19</v>
      </c>
      <c r="I41" s="11">
        <v>4198.9</v>
      </c>
      <c r="J41" s="11">
        <v>1.07</v>
      </c>
      <c r="K41" s="75">
        <v>0.1391</v>
      </c>
    </row>
    <row r="42" spans="1:12" s="11" customFormat="1" ht="15">
      <c r="A42" s="20" t="s">
        <v>25</v>
      </c>
      <c r="B42" s="21" t="s">
        <v>26</v>
      </c>
      <c r="C42" s="23">
        <f>F42*12</f>
        <v>0</v>
      </c>
      <c r="D42" s="87">
        <f>G42*I42</f>
        <v>2015.4719999999998</v>
      </c>
      <c r="E42" s="93">
        <f>H42*12</f>
        <v>0.48</v>
      </c>
      <c r="F42" s="92"/>
      <c r="G42" s="86">
        <f>H42*12</f>
        <v>0.48</v>
      </c>
      <c r="H42" s="86">
        <v>0.04</v>
      </c>
      <c r="I42" s="11">
        <v>4198.9</v>
      </c>
      <c r="J42" s="11">
        <v>1.07</v>
      </c>
      <c r="K42" s="75">
        <v>0.032100000000000004</v>
      </c>
      <c r="L42" s="11">
        <v>4840.7</v>
      </c>
    </row>
    <row r="43" spans="1:12" s="11" customFormat="1" ht="15">
      <c r="A43" s="20" t="s">
        <v>27</v>
      </c>
      <c r="B43" s="26" t="s">
        <v>28</v>
      </c>
      <c r="C43" s="27">
        <f>F43*12</f>
        <v>0</v>
      </c>
      <c r="D43" s="87">
        <f>G43*I43</f>
        <v>1511.6039999999998</v>
      </c>
      <c r="E43" s="94">
        <f>H43*12</f>
        <v>0.36</v>
      </c>
      <c r="F43" s="95"/>
      <c r="G43" s="86">
        <f>12*H43</f>
        <v>0.36</v>
      </c>
      <c r="H43" s="86">
        <v>0.03</v>
      </c>
      <c r="I43" s="11">
        <v>4198.9</v>
      </c>
      <c r="J43" s="11">
        <v>1.07</v>
      </c>
      <c r="K43" s="75">
        <v>0.021400000000000002</v>
      </c>
      <c r="L43" s="11">
        <v>4840.7</v>
      </c>
    </row>
    <row r="44" spans="1:11" s="22" customFormat="1" ht="30">
      <c r="A44" s="20" t="s">
        <v>24</v>
      </c>
      <c r="B44" s="21" t="s">
        <v>83</v>
      </c>
      <c r="C44" s="23">
        <f>F44*12</f>
        <v>0</v>
      </c>
      <c r="D44" s="87">
        <f>G44*I44</f>
        <v>2015.4719999999998</v>
      </c>
      <c r="E44" s="93">
        <f>H44*12</f>
        <v>0.48</v>
      </c>
      <c r="F44" s="92"/>
      <c r="G44" s="86">
        <f>12*H44</f>
        <v>0.48</v>
      </c>
      <c r="H44" s="86">
        <v>0.04</v>
      </c>
      <c r="I44" s="11">
        <v>4198.9</v>
      </c>
      <c r="J44" s="11">
        <v>1.07</v>
      </c>
      <c r="K44" s="75">
        <v>0.032100000000000004</v>
      </c>
    </row>
    <row r="45" spans="1:11" s="22" customFormat="1" ht="15">
      <c r="A45" s="20" t="s">
        <v>37</v>
      </c>
      <c r="B45" s="21"/>
      <c r="C45" s="16"/>
      <c r="D45" s="86">
        <f>D47+D48+D50+D51+D52+D53+D54+D55+D56+D57+D49</f>
        <v>37273.13640093375</v>
      </c>
      <c r="E45" s="86"/>
      <c r="F45" s="92"/>
      <c r="G45" s="86">
        <f>D45/I45</f>
        <v>8.8768811833894</v>
      </c>
      <c r="H45" s="86">
        <f>G45/12</f>
        <v>0.7397400986157834</v>
      </c>
      <c r="I45" s="11">
        <v>4198.9</v>
      </c>
      <c r="J45" s="11">
        <v>1.07</v>
      </c>
      <c r="K45" s="75">
        <v>0.7501801539292039</v>
      </c>
    </row>
    <row r="46" spans="1:11" s="15" customFormat="1" ht="15" hidden="1">
      <c r="A46" s="24" t="s">
        <v>62</v>
      </c>
      <c r="B46" s="19" t="s">
        <v>17</v>
      </c>
      <c r="C46" s="25"/>
      <c r="D46" s="97">
        <f>G46*I46</f>
        <v>0</v>
      </c>
      <c r="E46" s="96"/>
      <c r="F46" s="98"/>
      <c r="G46" s="96">
        <f>H46*12</f>
        <v>0</v>
      </c>
      <c r="H46" s="96">
        <v>0</v>
      </c>
      <c r="I46" s="11">
        <v>4198.9</v>
      </c>
      <c r="J46" s="11">
        <v>1.07</v>
      </c>
      <c r="K46" s="75">
        <v>0</v>
      </c>
    </row>
    <row r="47" spans="1:11" s="15" customFormat="1" ht="15">
      <c r="A47" s="24" t="s">
        <v>47</v>
      </c>
      <c r="B47" s="19" t="s">
        <v>17</v>
      </c>
      <c r="C47" s="25"/>
      <c r="D47" s="97">
        <v>392.99</v>
      </c>
      <c r="E47" s="96"/>
      <c r="F47" s="98"/>
      <c r="G47" s="96"/>
      <c r="H47" s="96"/>
      <c r="I47" s="11">
        <v>4198.9</v>
      </c>
      <c r="J47" s="11">
        <v>1.07</v>
      </c>
      <c r="K47" s="75">
        <v>0.010700000000000001</v>
      </c>
    </row>
    <row r="48" spans="1:12" s="15" customFormat="1" ht="15">
      <c r="A48" s="24" t="s">
        <v>18</v>
      </c>
      <c r="B48" s="19" t="s">
        <v>22</v>
      </c>
      <c r="C48" s="25">
        <f>F48*12</f>
        <v>0</v>
      </c>
      <c r="D48" s="97">
        <f>1247.46*I48/L48</f>
        <v>1082.066600698246</v>
      </c>
      <c r="E48" s="96">
        <f>H48*12</f>
        <v>0</v>
      </c>
      <c r="F48" s="98"/>
      <c r="G48" s="96"/>
      <c r="H48" s="96"/>
      <c r="I48" s="11">
        <v>4198.9</v>
      </c>
      <c r="J48" s="11">
        <v>1.07</v>
      </c>
      <c r="K48" s="75">
        <v>0.021400000000000002</v>
      </c>
      <c r="L48" s="15">
        <v>4840.7</v>
      </c>
    </row>
    <row r="49" spans="1:11" s="15" customFormat="1" ht="15">
      <c r="A49" s="24" t="s">
        <v>121</v>
      </c>
      <c r="B49" s="84" t="s">
        <v>17</v>
      </c>
      <c r="C49" s="25"/>
      <c r="D49" s="97">
        <v>2222.82</v>
      </c>
      <c r="E49" s="96"/>
      <c r="F49" s="98"/>
      <c r="G49" s="96"/>
      <c r="H49" s="96"/>
      <c r="I49" s="11">
        <v>4198.9</v>
      </c>
      <c r="J49" s="11"/>
      <c r="K49" s="75"/>
    </row>
    <row r="50" spans="1:12" s="15" customFormat="1" ht="15">
      <c r="A50" s="24" t="s">
        <v>122</v>
      </c>
      <c r="B50" s="19" t="s">
        <v>17</v>
      </c>
      <c r="C50" s="25">
        <f>F50*12</f>
        <v>0</v>
      </c>
      <c r="D50" s="97">
        <f>7525.37*I50/L50</f>
        <v>6527.625362654161</v>
      </c>
      <c r="E50" s="96">
        <f>H50*12</f>
        <v>0</v>
      </c>
      <c r="F50" s="98"/>
      <c r="G50" s="96"/>
      <c r="H50" s="96"/>
      <c r="I50" s="11">
        <v>4198.9</v>
      </c>
      <c r="J50" s="11">
        <v>1.07</v>
      </c>
      <c r="K50" s="75">
        <v>0.14980000000000002</v>
      </c>
      <c r="L50" s="15">
        <v>4840.7</v>
      </c>
    </row>
    <row r="51" spans="1:11" s="15" customFormat="1" ht="15">
      <c r="A51" s="24" t="s">
        <v>60</v>
      </c>
      <c r="B51" s="19" t="s">
        <v>17</v>
      </c>
      <c r="C51" s="25">
        <f>F51*12</f>
        <v>0</v>
      </c>
      <c r="D51" s="97">
        <v>2377.23</v>
      </c>
      <c r="E51" s="96">
        <f>H51*12</f>
        <v>0</v>
      </c>
      <c r="F51" s="98"/>
      <c r="G51" s="96"/>
      <c r="H51" s="96"/>
      <c r="I51" s="11">
        <v>4198.9</v>
      </c>
      <c r="J51" s="11">
        <v>1.07</v>
      </c>
      <c r="K51" s="75">
        <v>0.042800000000000005</v>
      </c>
    </row>
    <row r="52" spans="1:11" s="15" customFormat="1" ht="15">
      <c r="A52" s="24" t="s">
        <v>19</v>
      </c>
      <c r="B52" s="19" t="s">
        <v>17</v>
      </c>
      <c r="C52" s="25">
        <f>F52*12</f>
        <v>0</v>
      </c>
      <c r="D52" s="97">
        <v>7065.55</v>
      </c>
      <c r="E52" s="96">
        <f>H52*12</f>
        <v>0</v>
      </c>
      <c r="F52" s="98"/>
      <c r="G52" s="96"/>
      <c r="H52" s="96"/>
      <c r="I52" s="11">
        <v>4198.9</v>
      </c>
      <c r="J52" s="11">
        <v>1.07</v>
      </c>
      <c r="K52" s="75">
        <v>0.11770000000000001</v>
      </c>
    </row>
    <row r="53" spans="1:11" s="15" customFormat="1" ht="15">
      <c r="A53" s="24" t="s">
        <v>20</v>
      </c>
      <c r="B53" s="19" t="s">
        <v>17</v>
      </c>
      <c r="C53" s="25">
        <f>F53*12</f>
        <v>0</v>
      </c>
      <c r="D53" s="97">
        <v>831.63</v>
      </c>
      <c r="E53" s="96">
        <f>H53*12</f>
        <v>0</v>
      </c>
      <c r="F53" s="98"/>
      <c r="G53" s="96"/>
      <c r="H53" s="96"/>
      <c r="I53" s="11">
        <v>4198.9</v>
      </c>
      <c r="J53" s="11">
        <v>1.07</v>
      </c>
      <c r="K53" s="75">
        <v>0.010700000000000001</v>
      </c>
    </row>
    <row r="54" spans="1:12" s="15" customFormat="1" ht="15">
      <c r="A54" s="24" t="s">
        <v>56</v>
      </c>
      <c r="B54" s="19" t="s">
        <v>17</v>
      </c>
      <c r="C54" s="25"/>
      <c r="D54" s="97">
        <f>1188.57*I54/L54</f>
        <v>1030.98448013717</v>
      </c>
      <c r="E54" s="96"/>
      <c r="F54" s="98"/>
      <c r="G54" s="96"/>
      <c r="H54" s="96"/>
      <c r="I54" s="11">
        <v>4198.9</v>
      </c>
      <c r="J54" s="11">
        <v>1.07</v>
      </c>
      <c r="K54" s="75">
        <v>0.021400000000000002</v>
      </c>
      <c r="L54" s="15">
        <v>4840.7</v>
      </c>
    </row>
    <row r="55" spans="1:11" s="15" customFormat="1" ht="15">
      <c r="A55" s="24" t="s">
        <v>57</v>
      </c>
      <c r="B55" s="19" t="s">
        <v>22</v>
      </c>
      <c r="C55" s="25"/>
      <c r="D55" s="97">
        <v>4754.46</v>
      </c>
      <c r="E55" s="96"/>
      <c r="F55" s="98"/>
      <c r="G55" s="96"/>
      <c r="H55" s="96"/>
      <c r="I55" s="11">
        <v>4198.9</v>
      </c>
      <c r="J55" s="11">
        <v>1.07</v>
      </c>
      <c r="K55" s="75">
        <v>0.08560000000000001</v>
      </c>
    </row>
    <row r="56" spans="1:12" s="15" customFormat="1" ht="25.5">
      <c r="A56" s="24" t="s">
        <v>21</v>
      </c>
      <c r="B56" s="19" t="s">
        <v>17</v>
      </c>
      <c r="C56" s="25">
        <f>F56*12</f>
        <v>0</v>
      </c>
      <c r="D56" s="97">
        <f>3244.28*I56/L56</f>
        <v>2814.139957444171</v>
      </c>
      <c r="E56" s="96">
        <f>H56*12</f>
        <v>0</v>
      </c>
      <c r="F56" s="98"/>
      <c r="G56" s="96"/>
      <c r="H56" s="96"/>
      <c r="I56" s="11">
        <v>4198.9</v>
      </c>
      <c r="J56" s="11">
        <v>1.07</v>
      </c>
      <c r="K56" s="75">
        <v>0.053500000000000006</v>
      </c>
      <c r="L56" s="15">
        <v>4840.7</v>
      </c>
    </row>
    <row r="57" spans="1:11" s="15" customFormat="1" ht="15">
      <c r="A57" s="24" t="s">
        <v>104</v>
      </c>
      <c r="B57" s="19" t="s">
        <v>17</v>
      </c>
      <c r="C57" s="25"/>
      <c r="D57" s="97">
        <v>8173.64</v>
      </c>
      <c r="E57" s="96"/>
      <c r="F57" s="98"/>
      <c r="G57" s="96"/>
      <c r="H57" s="96"/>
      <c r="I57" s="11">
        <v>4198.9</v>
      </c>
      <c r="J57" s="11">
        <v>1.07</v>
      </c>
      <c r="K57" s="75">
        <v>0.010700000000000001</v>
      </c>
    </row>
    <row r="58" spans="1:11" s="15" customFormat="1" ht="15" hidden="1">
      <c r="A58" s="24" t="s">
        <v>63</v>
      </c>
      <c r="B58" s="19" t="s">
        <v>17</v>
      </c>
      <c r="C58" s="41"/>
      <c r="D58" s="97">
        <f>G58*I58</f>
        <v>0</v>
      </c>
      <c r="E58" s="99"/>
      <c r="F58" s="98"/>
      <c r="G58" s="96"/>
      <c r="H58" s="96"/>
      <c r="I58" s="11">
        <v>4198.9</v>
      </c>
      <c r="J58" s="11">
        <v>1.07</v>
      </c>
      <c r="K58" s="75">
        <v>0</v>
      </c>
    </row>
    <row r="59" spans="1:11" s="15" customFormat="1" ht="15" hidden="1">
      <c r="A59" s="40"/>
      <c r="B59" s="19"/>
      <c r="C59" s="25"/>
      <c r="D59" s="97"/>
      <c r="E59" s="96"/>
      <c r="F59" s="98"/>
      <c r="G59" s="96"/>
      <c r="H59" s="96"/>
      <c r="I59" s="11"/>
      <c r="J59" s="11"/>
      <c r="K59" s="75"/>
    </row>
    <row r="60" spans="1:11" s="22" customFormat="1" ht="30">
      <c r="A60" s="20" t="s">
        <v>43</v>
      </c>
      <c r="B60" s="21"/>
      <c r="C60" s="16"/>
      <c r="D60" s="86">
        <f>D61+D62+D63+D64+D68+D70</f>
        <v>22732</v>
      </c>
      <c r="E60" s="86"/>
      <c r="F60" s="92"/>
      <c r="G60" s="86">
        <f>D60/I60</f>
        <v>5.4137988520803075</v>
      </c>
      <c r="H60" s="86">
        <f>G60/12</f>
        <v>0.4511499043400256</v>
      </c>
      <c r="I60" s="11">
        <v>4198.9</v>
      </c>
      <c r="J60" s="11">
        <v>1.07</v>
      </c>
      <c r="K60" s="75">
        <v>0.6101064112029342</v>
      </c>
    </row>
    <row r="61" spans="1:11" s="15" customFormat="1" ht="15">
      <c r="A61" s="24" t="s">
        <v>38</v>
      </c>
      <c r="B61" s="19" t="s">
        <v>61</v>
      </c>
      <c r="C61" s="25"/>
      <c r="D61" s="97">
        <v>2377.23</v>
      </c>
      <c r="E61" s="96"/>
      <c r="F61" s="98"/>
      <c r="G61" s="96"/>
      <c r="H61" s="96"/>
      <c r="I61" s="11">
        <v>4198.9</v>
      </c>
      <c r="J61" s="11">
        <v>1.07</v>
      </c>
      <c r="K61" s="75">
        <v>0.042800000000000005</v>
      </c>
    </row>
    <row r="62" spans="1:11" s="15" customFormat="1" ht="25.5">
      <c r="A62" s="24" t="s">
        <v>39</v>
      </c>
      <c r="B62" s="84" t="s">
        <v>17</v>
      </c>
      <c r="C62" s="25"/>
      <c r="D62" s="97">
        <v>1584.82</v>
      </c>
      <c r="E62" s="96"/>
      <c r="F62" s="98"/>
      <c r="G62" s="96"/>
      <c r="H62" s="96"/>
      <c r="I62" s="11">
        <v>4198.9</v>
      </c>
      <c r="J62" s="11">
        <v>1.07</v>
      </c>
      <c r="K62" s="75">
        <v>0.032100000000000004</v>
      </c>
    </row>
    <row r="63" spans="1:11" s="15" customFormat="1" ht="15">
      <c r="A63" s="24" t="s">
        <v>67</v>
      </c>
      <c r="B63" s="19" t="s">
        <v>66</v>
      </c>
      <c r="C63" s="25"/>
      <c r="D63" s="97">
        <v>1663.21</v>
      </c>
      <c r="E63" s="96"/>
      <c r="F63" s="98"/>
      <c r="G63" s="96"/>
      <c r="H63" s="96"/>
      <c r="I63" s="11">
        <v>4198.9</v>
      </c>
      <c r="J63" s="11">
        <v>1.07</v>
      </c>
      <c r="K63" s="75">
        <v>0.032100000000000004</v>
      </c>
    </row>
    <row r="64" spans="1:11" s="15" customFormat="1" ht="25.5">
      <c r="A64" s="24" t="s">
        <v>64</v>
      </c>
      <c r="B64" s="19" t="s">
        <v>65</v>
      </c>
      <c r="C64" s="25"/>
      <c r="D64" s="97">
        <v>1584.8</v>
      </c>
      <c r="E64" s="96"/>
      <c r="F64" s="98"/>
      <c r="G64" s="96"/>
      <c r="H64" s="96"/>
      <c r="I64" s="11">
        <v>4198.9</v>
      </c>
      <c r="J64" s="11">
        <v>1.07</v>
      </c>
      <c r="K64" s="75">
        <v>0.032100000000000004</v>
      </c>
    </row>
    <row r="65" spans="1:11" s="15" customFormat="1" ht="15" hidden="1">
      <c r="A65" s="24" t="s">
        <v>49</v>
      </c>
      <c r="B65" s="19" t="s">
        <v>66</v>
      </c>
      <c r="C65" s="25"/>
      <c r="D65" s="97">
        <f>G65*I65</f>
        <v>0</v>
      </c>
      <c r="E65" s="96"/>
      <c r="F65" s="98"/>
      <c r="G65" s="96"/>
      <c r="H65" s="96"/>
      <c r="I65" s="11">
        <v>4198.9</v>
      </c>
      <c r="J65" s="11">
        <v>1.07</v>
      </c>
      <c r="K65" s="75">
        <v>0</v>
      </c>
    </row>
    <row r="66" spans="1:11" s="15" customFormat="1" ht="15" hidden="1">
      <c r="A66" s="24" t="s">
        <v>50</v>
      </c>
      <c r="B66" s="19" t="s">
        <v>17</v>
      </c>
      <c r="C66" s="25"/>
      <c r="D66" s="97">
        <f>G66*I66</f>
        <v>0</v>
      </c>
      <c r="E66" s="96"/>
      <c r="F66" s="98"/>
      <c r="G66" s="96"/>
      <c r="H66" s="96"/>
      <c r="I66" s="11">
        <v>4198.9</v>
      </c>
      <c r="J66" s="11">
        <v>1.07</v>
      </c>
      <c r="K66" s="75">
        <v>0</v>
      </c>
    </row>
    <row r="67" spans="1:11" s="15" customFormat="1" ht="25.5" hidden="1">
      <c r="A67" s="24" t="s">
        <v>48</v>
      </c>
      <c r="B67" s="19" t="s">
        <v>17</v>
      </c>
      <c r="C67" s="25"/>
      <c r="D67" s="97">
        <f>G67*I67</f>
        <v>0</v>
      </c>
      <c r="E67" s="96"/>
      <c r="F67" s="98"/>
      <c r="G67" s="96"/>
      <c r="H67" s="96"/>
      <c r="I67" s="11">
        <v>4198.9</v>
      </c>
      <c r="J67" s="11">
        <v>1.07</v>
      </c>
      <c r="K67" s="75">
        <v>0</v>
      </c>
    </row>
    <row r="68" spans="1:11" s="15" customFormat="1" ht="15">
      <c r="A68" s="40" t="s">
        <v>58</v>
      </c>
      <c r="B68" s="19" t="s">
        <v>9</v>
      </c>
      <c r="C68" s="41"/>
      <c r="D68" s="97">
        <v>5636.64</v>
      </c>
      <c r="E68" s="99"/>
      <c r="F68" s="98"/>
      <c r="G68" s="96"/>
      <c r="H68" s="96"/>
      <c r="I68" s="11">
        <v>4198.9</v>
      </c>
      <c r="J68" s="11">
        <v>1.07</v>
      </c>
      <c r="K68" s="75">
        <v>0.0963</v>
      </c>
    </row>
    <row r="69" spans="1:11" s="15" customFormat="1" ht="15" hidden="1">
      <c r="A69" s="40" t="s">
        <v>73</v>
      </c>
      <c r="B69" s="19" t="s">
        <v>17</v>
      </c>
      <c r="C69" s="25"/>
      <c r="D69" s="97">
        <f>G69*I69</f>
        <v>0</v>
      </c>
      <c r="E69" s="96"/>
      <c r="F69" s="98"/>
      <c r="G69" s="96">
        <f>H69*12</f>
        <v>0</v>
      </c>
      <c r="H69" s="96">
        <v>0</v>
      </c>
      <c r="I69" s="11">
        <v>4198.9</v>
      </c>
      <c r="J69" s="11">
        <v>1.07</v>
      </c>
      <c r="K69" s="75">
        <v>0</v>
      </c>
    </row>
    <row r="70" spans="1:11" s="15" customFormat="1" ht="25.5">
      <c r="A70" s="40" t="s">
        <v>124</v>
      </c>
      <c r="B70" s="84" t="s">
        <v>12</v>
      </c>
      <c r="C70" s="25"/>
      <c r="D70" s="128">
        <v>9885.3</v>
      </c>
      <c r="E70" s="96"/>
      <c r="F70" s="98"/>
      <c r="G70" s="99"/>
      <c r="H70" s="99"/>
      <c r="I70" s="11">
        <v>4198.9</v>
      </c>
      <c r="J70" s="11"/>
      <c r="K70" s="75"/>
    </row>
    <row r="71" spans="1:12" s="15" customFormat="1" ht="30">
      <c r="A71" s="20" t="s">
        <v>44</v>
      </c>
      <c r="B71" s="19"/>
      <c r="C71" s="25"/>
      <c r="D71" s="86">
        <f>D72</f>
        <v>1981.7937114466918</v>
      </c>
      <c r="E71" s="96"/>
      <c r="F71" s="98"/>
      <c r="G71" s="86">
        <f>D71/I71</f>
        <v>0.47197925919804995</v>
      </c>
      <c r="H71" s="86">
        <f>G71/12</f>
        <v>0.03933160493317083</v>
      </c>
      <c r="I71" s="11">
        <v>4198.9</v>
      </c>
      <c r="J71" s="11">
        <v>1.07</v>
      </c>
      <c r="K71" s="75">
        <v>0.053500000000000006</v>
      </c>
      <c r="L71" s="15">
        <v>4840.7</v>
      </c>
    </row>
    <row r="72" spans="1:12" s="15" customFormat="1" ht="15">
      <c r="A72" s="24" t="s">
        <v>80</v>
      </c>
      <c r="B72" s="19" t="s">
        <v>17</v>
      </c>
      <c r="C72" s="25"/>
      <c r="D72" s="97">
        <f>2284.71*I72/L72</f>
        <v>1981.7937114466918</v>
      </c>
      <c r="E72" s="96"/>
      <c r="F72" s="98"/>
      <c r="G72" s="96"/>
      <c r="H72" s="96"/>
      <c r="I72" s="11">
        <v>4198.9</v>
      </c>
      <c r="J72" s="11">
        <v>1.07</v>
      </c>
      <c r="K72" s="75">
        <v>0.032100000000000004</v>
      </c>
      <c r="L72" s="15">
        <v>4840.7</v>
      </c>
    </row>
    <row r="73" spans="1:11" s="15" customFormat="1" ht="15" hidden="1">
      <c r="A73" s="24" t="s">
        <v>59</v>
      </c>
      <c r="B73" s="19" t="s">
        <v>9</v>
      </c>
      <c r="C73" s="25"/>
      <c r="D73" s="97">
        <f>G73*I73</f>
        <v>0</v>
      </c>
      <c r="E73" s="96"/>
      <c r="F73" s="98"/>
      <c r="G73" s="96">
        <f>H73*12</f>
        <v>0</v>
      </c>
      <c r="H73" s="96">
        <v>0</v>
      </c>
      <c r="I73" s="11">
        <v>4198.9</v>
      </c>
      <c r="J73" s="11">
        <v>1.07</v>
      </c>
      <c r="K73" s="75">
        <v>0</v>
      </c>
    </row>
    <row r="74" spans="1:11" s="15" customFormat="1" ht="15">
      <c r="A74" s="20" t="s">
        <v>45</v>
      </c>
      <c r="B74" s="19"/>
      <c r="C74" s="25"/>
      <c r="D74" s="86">
        <f>D75+D76+D77+D80</f>
        <v>14275.619238953044</v>
      </c>
      <c r="E74" s="96"/>
      <c r="F74" s="98"/>
      <c r="G74" s="86">
        <f>D74/I74</f>
        <v>3.399847397878741</v>
      </c>
      <c r="H74" s="86">
        <f>G74/12</f>
        <v>0.2833206164898951</v>
      </c>
      <c r="I74" s="11">
        <v>4198.9</v>
      </c>
      <c r="J74" s="11">
        <v>1.07</v>
      </c>
      <c r="K74" s="75">
        <v>0.17120000000000002</v>
      </c>
    </row>
    <row r="75" spans="1:11" s="15" customFormat="1" ht="15">
      <c r="A75" s="24" t="s">
        <v>40</v>
      </c>
      <c r="B75" s="19" t="s">
        <v>9</v>
      </c>
      <c r="C75" s="25"/>
      <c r="D75" s="97">
        <v>1104.48</v>
      </c>
      <c r="E75" s="96"/>
      <c r="F75" s="98"/>
      <c r="G75" s="96"/>
      <c r="H75" s="96"/>
      <c r="I75" s="11">
        <v>4198.9</v>
      </c>
      <c r="J75" s="11">
        <v>1.07</v>
      </c>
      <c r="K75" s="75">
        <v>0.021400000000000002</v>
      </c>
    </row>
    <row r="76" spans="1:11" s="15" customFormat="1" ht="15">
      <c r="A76" s="24" t="s">
        <v>77</v>
      </c>
      <c r="B76" s="19" t="s">
        <v>17</v>
      </c>
      <c r="C76" s="25"/>
      <c r="D76" s="97">
        <v>8283.19</v>
      </c>
      <c r="E76" s="96"/>
      <c r="F76" s="98"/>
      <c r="G76" s="96"/>
      <c r="H76" s="96"/>
      <c r="I76" s="11">
        <v>4198.9</v>
      </c>
      <c r="J76" s="11">
        <v>1.07</v>
      </c>
      <c r="K76" s="75">
        <v>0.1391</v>
      </c>
    </row>
    <row r="77" spans="1:12" s="15" customFormat="1" ht="15">
      <c r="A77" s="24" t="s">
        <v>41</v>
      </c>
      <c r="B77" s="19" t="s">
        <v>17</v>
      </c>
      <c r="C77" s="25"/>
      <c r="D77" s="97">
        <f>828.31*I77/L77</f>
        <v>718.4892389530438</v>
      </c>
      <c r="E77" s="96"/>
      <c r="F77" s="98"/>
      <c r="G77" s="96"/>
      <c r="H77" s="96"/>
      <c r="I77" s="11">
        <v>4198.9</v>
      </c>
      <c r="J77" s="11">
        <v>1.07</v>
      </c>
      <c r="K77" s="75">
        <v>0.010700000000000001</v>
      </c>
      <c r="L77" s="15">
        <v>4840.7</v>
      </c>
    </row>
    <row r="78" spans="1:11" s="15" customFormat="1" ht="25.5" hidden="1">
      <c r="A78" s="40" t="s">
        <v>68</v>
      </c>
      <c r="B78" s="19" t="s">
        <v>12</v>
      </c>
      <c r="C78" s="25"/>
      <c r="D78" s="97">
        <f>G78*I78</f>
        <v>0</v>
      </c>
      <c r="E78" s="96"/>
      <c r="F78" s="98"/>
      <c r="G78" s="96"/>
      <c r="H78" s="96"/>
      <c r="I78" s="11">
        <v>4198.9</v>
      </c>
      <c r="J78" s="11">
        <v>1.07</v>
      </c>
      <c r="K78" s="75">
        <v>0</v>
      </c>
    </row>
    <row r="79" spans="1:11" s="15" customFormat="1" ht="25.5" hidden="1">
      <c r="A79" s="40" t="s">
        <v>74</v>
      </c>
      <c r="B79" s="19" t="s">
        <v>12</v>
      </c>
      <c r="C79" s="25"/>
      <c r="D79" s="97">
        <f>G79*I79</f>
        <v>0</v>
      </c>
      <c r="E79" s="96"/>
      <c r="F79" s="98"/>
      <c r="G79" s="96"/>
      <c r="H79" s="96"/>
      <c r="I79" s="11">
        <v>4198.9</v>
      </c>
      <c r="J79" s="11">
        <v>1.07</v>
      </c>
      <c r="K79" s="75">
        <v>0</v>
      </c>
    </row>
    <row r="80" spans="1:11" s="15" customFormat="1" ht="25.5">
      <c r="A80" s="40" t="s">
        <v>72</v>
      </c>
      <c r="B80" s="19" t="s">
        <v>12</v>
      </c>
      <c r="C80" s="25"/>
      <c r="D80" s="97">
        <v>4169.46</v>
      </c>
      <c r="E80" s="96"/>
      <c r="F80" s="98"/>
      <c r="G80" s="96"/>
      <c r="H80" s="96"/>
      <c r="I80" s="11">
        <v>4198.9</v>
      </c>
      <c r="J80" s="11">
        <v>1.07</v>
      </c>
      <c r="K80" s="75">
        <v>0.07490000000000001</v>
      </c>
    </row>
    <row r="81" spans="1:11" s="15" customFormat="1" ht="15">
      <c r="A81" s="20" t="s">
        <v>46</v>
      </c>
      <c r="B81" s="19"/>
      <c r="C81" s="25"/>
      <c r="D81" s="86">
        <f>D82</f>
        <v>862.0292170553845</v>
      </c>
      <c r="E81" s="96"/>
      <c r="F81" s="98"/>
      <c r="G81" s="86">
        <f>D81/I81</f>
        <v>0.2052988204185345</v>
      </c>
      <c r="H81" s="86">
        <f>G81/12</f>
        <v>0.017108235034877874</v>
      </c>
      <c r="I81" s="11">
        <v>4198.9</v>
      </c>
      <c r="J81" s="11">
        <v>1.07</v>
      </c>
      <c r="K81" s="75">
        <v>0.0963</v>
      </c>
    </row>
    <row r="82" spans="1:12" s="15" customFormat="1" ht="15">
      <c r="A82" s="24" t="s">
        <v>42</v>
      </c>
      <c r="B82" s="19" t="s">
        <v>17</v>
      </c>
      <c r="C82" s="25"/>
      <c r="D82" s="97">
        <f>993.79*I82/L82</f>
        <v>862.0292170553845</v>
      </c>
      <c r="E82" s="96"/>
      <c r="F82" s="98"/>
      <c r="G82" s="96"/>
      <c r="H82" s="96"/>
      <c r="I82" s="11">
        <v>4198.9</v>
      </c>
      <c r="J82" s="11">
        <v>1.07</v>
      </c>
      <c r="K82" s="75">
        <v>0.010700000000000001</v>
      </c>
      <c r="L82" s="15">
        <v>4840.7</v>
      </c>
    </row>
    <row r="83" spans="1:11" s="11" customFormat="1" ht="15">
      <c r="A83" s="20" t="s">
        <v>55</v>
      </c>
      <c r="B83" s="21"/>
      <c r="C83" s="16"/>
      <c r="D83" s="86">
        <v>0</v>
      </c>
      <c r="E83" s="86"/>
      <c r="F83" s="92"/>
      <c r="G83" s="86">
        <f>D83/I83</f>
        <v>0</v>
      </c>
      <c r="H83" s="86">
        <f>G83/12</f>
        <v>0</v>
      </c>
      <c r="I83" s="11">
        <v>4198.9</v>
      </c>
      <c r="J83" s="11">
        <v>1.07</v>
      </c>
      <c r="K83" s="75">
        <v>0.021400000000000002</v>
      </c>
    </row>
    <row r="84" spans="1:11" s="11" customFormat="1" ht="15">
      <c r="A84" s="20" t="s">
        <v>54</v>
      </c>
      <c r="B84" s="21"/>
      <c r="C84" s="16"/>
      <c r="D84" s="86">
        <f>D85</f>
        <v>2208.87</v>
      </c>
      <c r="E84" s="86" t="e">
        <f>#REF!+E85+#REF!+#REF!</f>
        <v>#REF!</v>
      </c>
      <c r="F84" s="86" t="e">
        <f>#REF!+F85+#REF!+#REF!</f>
        <v>#REF!</v>
      </c>
      <c r="G84" s="86">
        <f>D84/I84</f>
        <v>0.5260592059825192</v>
      </c>
      <c r="H84" s="86">
        <f>G84/12</f>
        <v>0.043838267165209936</v>
      </c>
      <c r="I84" s="11">
        <v>4198.9</v>
      </c>
      <c r="J84" s="11">
        <v>1.07</v>
      </c>
      <c r="K84" s="75">
        <v>0.2033</v>
      </c>
    </row>
    <row r="85" spans="1:11" s="15" customFormat="1" ht="15">
      <c r="A85" s="24" t="s">
        <v>70</v>
      </c>
      <c r="B85" s="19" t="s">
        <v>61</v>
      </c>
      <c r="C85" s="25"/>
      <c r="D85" s="97">
        <v>2208.87</v>
      </c>
      <c r="E85" s="96"/>
      <c r="F85" s="98"/>
      <c r="G85" s="96"/>
      <c r="H85" s="96"/>
      <c r="I85" s="11">
        <v>4198.9</v>
      </c>
      <c r="J85" s="11">
        <v>1.07</v>
      </c>
      <c r="K85" s="75">
        <v>0.042800000000000005</v>
      </c>
    </row>
    <row r="86" spans="1:11" s="11" customFormat="1" ht="30.75" thickBot="1">
      <c r="A86" s="37" t="s">
        <v>34</v>
      </c>
      <c r="B86" s="21" t="s">
        <v>12</v>
      </c>
      <c r="C86" s="27">
        <f>F86*12</f>
        <v>0</v>
      </c>
      <c r="D86" s="94">
        <f>G86*I86</f>
        <v>21666.324</v>
      </c>
      <c r="E86" s="94">
        <f>H86*12</f>
        <v>5.16</v>
      </c>
      <c r="F86" s="95"/>
      <c r="G86" s="94">
        <f>H86*12</f>
        <v>5.16</v>
      </c>
      <c r="H86" s="94">
        <f>0.32+0.11</f>
        <v>0.43</v>
      </c>
      <c r="I86" s="11">
        <v>4198.9</v>
      </c>
      <c r="J86" s="11">
        <v>1.07</v>
      </c>
      <c r="K86" s="75">
        <v>0.29960000000000003</v>
      </c>
    </row>
    <row r="87" spans="1:11" s="11" customFormat="1" ht="19.5" hidden="1" thickBot="1">
      <c r="A87" s="47"/>
      <c r="B87" s="26"/>
      <c r="C87" s="27"/>
      <c r="D87" s="94"/>
      <c r="E87" s="94"/>
      <c r="F87" s="95"/>
      <c r="G87" s="94"/>
      <c r="H87" s="85">
        <v>0</v>
      </c>
      <c r="I87" s="11">
        <v>4198.9</v>
      </c>
      <c r="J87" s="11">
        <v>1.07</v>
      </c>
      <c r="K87" s="75">
        <v>0</v>
      </c>
    </row>
    <row r="88" spans="1:11" s="11" customFormat="1" ht="15.75" hidden="1" thickBot="1">
      <c r="A88" s="48"/>
      <c r="B88" s="43"/>
      <c r="C88" s="44"/>
      <c r="D88" s="102"/>
      <c r="E88" s="102"/>
      <c r="F88" s="103"/>
      <c r="G88" s="102"/>
      <c r="H88" s="85">
        <v>0</v>
      </c>
      <c r="I88" s="11">
        <v>4198.9</v>
      </c>
      <c r="J88" s="11">
        <v>1.07</v>
      </c>
      <c r="K88" s="75">
        <v>0</v>
      </c>
    </row>
    <row r="89" spans="1:11" s="11" customFormat="1" ht="15.75" hidden="1" thickBot="1">
      <c r="A89" s="48"/>
      <c r="B89" s="43"/>
      <c r="C89" s="44"/>
      <c r="D89" s="102"/>
      <c r="E89" s="102"/>
      <c r="F89" s="103"/>
      <c r="G89" s="102"/>
      <c r="H89" s="85">
        <v>0</v>
      </c>
      <c r="I89" s="11">
        <v>4198.9</v>
      </c>
      <c r="J89" s="11">
        <v>1.07</v>
      </c>
      <c r="K89" s="75">
        <v>0</v>
      </c>
    </row>
    <row r="90" spans="1:11" s="11" customFormat="1" ht="15.75" hidden="1" thickBot="1">
      <c r="A90" s="48"/>
      <c r="B90" s="43"/>
      <c r="C90" s="44"/>
      <c r="D90" s="102"/>
      <c r="E90" s="102"/>
      <c r="F90" s="103"/>
      <c r="G90" s="102"/>
      <c r="H90" s="85">
        <v>0</v>
      </c>
      <c r="I90" s="11">
        <v>4198.9</v>
      </c>
      <c r="J90" s="11">
        <v>1.07</v>
      </c>
      <c r="K90" s="75">
        <v>0</v>
      </c>
    </row>
    <row r="91" spans="1:11" s="11" customFormat="1" ht="15.75" hidden="1" thickBot="1">
      <c r="A91" s="48"/>
      <c r="B91" s="43"/>
      <c r="C91" s="44"/>
      <c r="D91" s="102"/>
      <c r="E91" s="102"/>
      <c r="F91" s="103"/>
      <c r="G91" s="102"/>
      <c r="H91" s="85">
        <v>0</v>
      </c>
      <c r="I91" s="11">
        <v>4198.9</v>
      </c>
      <c r="J91" s="11">
        <v>1.07</v>
      </c>
      <c r="K91" s="75">
        <v>0</v>
      </c>
    </row>
    <row r="92" spans="1:11" s="11" customFormat="1" ht="15.75" hidden="1" thickBot="1">
      <c r="A92" s="48"/>
      <c r="B92" s="43"/>
      <c r="C92" s="44"/>
      <c r="D92" s="102"/>
      <c r="E92" s="102"/>
      <c r="F92" s="103"/>
      <c r="G92" s="102"/>
      <c r="H92" s="85">
        <v>0</v>
      </c>
      <c r="I92" s="11">
        <v>4198.9</v>
      </c>
      <c r="J92" s="11">
        <v>1.07</v>
      </c>
      <c r="K92" s="75">
        <v>0</v>
      </c>
    </row>
    <row r="93" spans="1:11" s="11" customFormat="1" ht="15.75" hidden="1" thickBot="1">
      <c r="A93" s="48"/>
      <c r="B93" s="43"/>
      <c r="C93" s="44"/>
      <c r="D93" s="102"/>
      <c r="E93" s="102"/>
      <c r="F93" s="103"/>
      <c r="G93" s="102"/>
      <c r="H93" s="85">
        <v>0</v>
      </c>
      <c r="I93" s="11">
        <v>4198.9</v>
      </c>
      <c r="J93" s="11">
        <v>1.07</v>
      </c>
      <c r="K93" s="75">
        <v>0</v>
      </c>
    </row>
    <row r="94" spans="1:11" s="11" customFormat="1" ht="15.75" hidden="1" thickBot="1">
      <c r="A94" s="48"/>
      <c r="B94" s="43"/>
      <c r="C94" s="44"/>
      <c r="D94" s="102"/>
      <c r="E94" s="102"/>
      <c r="F94" s="103"/>
      <c r="G94" s="102"/>
      <c r="H94" s="85">
        <v>0</v>
      </c>
      <c r="I94" s="11">
        <v>4198.9</v>
      </c>
      <c r="J94" s="11">
        <v>1.07</v>
      </c>
      <c r="K94" s="75">
        <v>0</v>
      </c>
    </row>
    <row r="95" spans="1:11" s="11" customFormat="1" ht="15.75" hidden="1" thickBot="1">
      <c r="A95" s="49"/>
      <c r="B95" s="46"/>
      <c r="C95" s="45"/>
      <c r="D95" s="102"/>
      <c r="E95" s="102"/>
      <c r="F95" s="103"/>
      <c r="G95" s="102"/>
      <c r="H95" s="85">
        <v>0</v>
      </c>
      <c r="I95" s="11">
        <v>4198.9</v>
      </c>
      <c r="J95" s="11">
        <v>1.07</v>
      </c>
      <c r="K95" s="75">
        <v>0</v>
      </c>
    </row>
    <row r="96" spans="1:11" s="11" customFormat="1" ht="15.75" hidden="1" thickBot="1">
      <c r="A96" s="49"/>
      <c r="B96" s="46"/>
      <c r="C96" s="45"/>
      <c r="D96" s="102"/>
      <c r="E96" s="102"/>
      <c r="F96" s="103"/>
      <c r="G96" s="102"/>
      <c r="H96" s="85">
        <v>0</v>
      </c>
      <c r="I96" s="11">
        <v>4198.9</v>
      </c>
      <c r="J96" s="11">
        <v>1.07</v>
      </c>
      <c r="K96" s="75">
        <v>0</v>
      </c>
    </row>
    <row r="97" spans="1:11" s="11" customFormat="1" ht="20.25" thickBot="1">
      <c r="A97" s="65" t="s">
        <v>109</v>
      </c>
      <c r="B97" s="112" t="s">
        <v>11</v>
      </c>
      <c r="C97" s="23"/>
      <c r="D97" s="104">
        <f>G97*I97</f>
        <v>86665.296</v>
      </c>
      <c r="E97" s="93"/>
      <c r="F97" s="104"/>
      <c r="G97" s="93">
        <f>H97*12</f>
        <v>20.64</v>
      </c>
      <c r="H97" s="93">
        <v>1.72</v>
      </c>
      <c r="I97" s="11">
        <v>4198.9</v>
      </c>
      <c r="J97" s="11">
        <v>1.07</v>
      </c>
      <c r="K97" s="75">
        <v>5.308930116617844</v>
      </c>
    </row>
    <row r="98" spans="1:11" s="61" customFormat="1" ht="20.25" thickBot="1">
      <c r="A98" s="69" t="s">
        <v>33</v>
      </c>
      <c r="B98" s="70"/>
      <c r="C98" s="71" t="e">
        <f>F98*12</f>
        <v>#REF!</v>
      </c>
      <c r="D98" s="105">
        <v>681302.76</v>
      </c>
      <c r="E98" s="105" t="e">
        <f>E86+E84+E83+E81+E74+E71+E60+E45+E44+E43+E42+E41+E40+E39+E38+E35+E34+E33+E32+E31+E23+E15+E97</f>
        <v>#REF!</v>
      </c>
      <c r="F98" s="105" t="e">
        <f>F86+F84+F83+F81+F74+F71+F60+F45+F44+F43+F42+F41+F40+F39+F38+F35+F34+F33+F32+F31+F23+F15+F97</f>
        <v>#REF!</v>
      </c>
      <c r="G98" s="105">
        <f>G86+G84+G83+G81+G74+G71+G60+G45+G44+G43+G42+G41+G40+G39+G38+G35+G34+G33+G32+G31+G23+G15+G97</f>
        <v>162.25744268165016</v>
      </c>
      <c r="H98" s="105">
        <v>13.53</v>
      </c>
      <c r="K98" s="80"/>
    </row>
    <row r="99" spans="1:11" s="29" customFormat="1" ht="20.25" hidden="1" thickBot="1">
      <c r="A99" s="35" t="s">
        <v>29</v>
      </c>
      <c r="B99" s="36" t="s">
        <v>11</v>
      </c>
      <c r="C99" s="36" t="s">
        <v>30</v>
      </c>
      <c r="D99" s="107"/>
      <c r="E99" s="106" t="s">
        <v>30</v>
      </c>
      <c r="F99" s="108"/>
      <c r="G99" s="106" t="s">
        <v>30</v>
      </c>
      <c r="H99" s="108"/>
      <c r="K99" s="81"/>
    </row>
    <row r="100" spans="1:11" s="31" customFormat="1" ht="12.75">
      <c r="A100" s="30"/>
      <c r="D100" s="109"/>
      <c r="E100" s="109"/>
      <c r="F100" s="109"/>
      <c r="G100" s="109"/>
      <c r="H100" s="109"/>
      <c r="K100" s="82"/>
    </row>
    <row r="101" spans="1:11" s="31" customFormat="1" ht="12.75">
      <c r="A101" s="30"/>
      <c r="D101" s="109"/>
      <c r="E101" s="109"/>
      <c r="F101" s="109"/>
      <c r="G101" s="109"/>
      <c r="H101" s="109"/>
      <c r="K101" s="82"/>
    </row>
    <row r="102" spans="1:11" s="31" customFormat="1" ht="12.75" hidden="1">
      <c r="A102" s="30"/>
      <c r="D102" s="109"/>
      <c r="E102" s="109"/>
      <c r="F102" s="109"/>
      <c r="G102" s="109"/>
      <c r="H102" s="109"/>
      <c r="K102" s="82"/>
    </row>
    <row r="103" spans="1:11" s="31" customFormat="1" ht="12.75" hidden="1">
      <c r="A103" s="30"/>
      <c r="D103" s="109"/>
      <c r="E103" s="109"/>
      <c r="F103" s="109"/>
      <c r="G103" s="109"/>
      <c r="H103" s="109"/>
      <c r="K103" s="82"/>
    </row>
    <row r="104" spans="1:11" s="31" customFormat="1" ht="12.75">
      <c r="A104" s="30"/>
      <c r="D104" s="109"/>
      <c r="E104" s="109"/>
      <c r="F104" s="109"/>
      <c r="G104" s="109"/>
      <c r="H104" s="109"/>
      <c r="K104" s="82"/>
    </row>
    <row r="105" spans="1:11" s="31" customFormat="1" ht="13.5" thickBot="1">
      <c r="A105" s="30"/>
      <c r="D105" s="109"/>
      <c r="E105" s="109"/>
      <c r="F105" s="109"/>
      <c r="G105" s="109"/>
      <c r="H105" s="109"/>
      <c r="K105" s="82"/>
    </row>
    <row r="106" spans="1:11" s="31" customFormat="1" ht="39">
      <c r="A106" s="72" t="s">
        <v>98</v>
      </c>
      <c r="B106" s="73"/>
      <c r="C106" s="74">
        <f>F106*12</f>
        <v>0</v>
      </c>
      <c r="D106" s="110">
        <f>D107+D108+D109+D110+D111+D112+D113</f>
        <v>512485.14609023486</v>
      </c>
      <c r="E106" s="110">
        <f>E107+E108+E109+E110+E111+E112+E113</f>
        <v>0</v>
      </c>
      <c r="F106" s="110">
        <f>F107+F108+F109+F110+F111+F112+F113</f>
        <v>0</v>
      </c>
      <c r="G106" s="110">
        <f>G107+G108+G109+G110+G111+G112+G113</f>
        <v>122.05223894120721</v>
      </c>
      <c r="H106" s="110">
        <f>H107+H108+H109+H110+H111+H112+H113</f>
        <v>10.163131496547408</v>
      </c>
      <c r="I106" s="11">
        <v>4198.9</v>
      </c>
      <c r="K106" s="82"/>
    </row>
    <row r="107" spans="1:11" s="15" customFormat="1" ht="17.25" customHeight="1">
      <c r="A107" s="24" t="s">
        <v>111</v>
      </c>
      <c r="B107" s="126"/>
      <c r="C107" s="100"/>
      <c r="D107" s="127">
        <v>140958</v>
      </c>
      <c r="E107" s="100"/>
      <c r="F107" s="101"/>
      <c r="G107" s="100">
        <f>D107/I107</f>
        <v>33.570220772106985</v>
      </c>
      <c r="H107" s="100">
        <f aca="true" t="shared" si="2" ref="H107:H112">G107/12</f>
        <v>2.797518397675582</v>
      </c>
      <c r="I107" s="11">
        <v>4198.9</v>
      </c>
      <c r="J107" s="11"/>
      <c r="K107" s="75"/>
    </row>
    <row r="108" spans="1:11" s="15" customFormat="1" ht="17.25" customHeight="1">
      <c r="A108" s="24" t="s">
        <v>102</v>
      </c>
      <c r="B108" s="126"/>
      <c r="C108" s="100"/>
      <c r="D108" s="127">
        <v>2755.14</v>
      </c>
      <c r="E108" s="100"/>
      <c r="F108" s="101"/>
      <c r="G108" s="100">
        <f aca="true" t="shared" si="3" ref="G108:G113">D108/I108</f>
        <v>0.6561575650765678</v>
      </c>
      <c r="H108" s="100">
        <f t="shared" si="2"/>
        <v>0.05467979708971398</v>
      </c>
      <c r="I108" s="11">
        <v>4198.9</v>
      </c>
      <c r="J108" s="11"/>
      <c r="K108" s="75"/>
    </row>
    <row r="109" spans="1:11" s="15" customFormat="1" ht="17.25" customHeight="1">
      <c r="A109" s="24" t="s">
        <v>127</v>
      </c>
      <c r="B109" s="126"/>
      <c r="C109" s="100"/>
      <c r="D109" s="127">
        <v>106397.84</v>
      </c>
      <c r="E109" s="100"/>
      <c r="F109" s="101"/>
      <c r="G109" s="100">
        <f t="shared" si="3"/>
        <v>25.33945557169735</v>
      </c>
      <c r="H109" s="100">
        <f t="shared" si="2"/>
        <v>2.1116212976414457</v>
      </c>
      <c r="I109" s="11">
        <v>4198.9</v>
      </c>
      <c r="J109" s="11"/>
      <c r="K109" s="75"/>
    </row>
    <row r="110" spans="1:11" s="15" customFormat="1" ht="17.25" customHeight="1">
      <c r="A110" s="24" t="s">
        <v>136</v>
      </c>
      <c r="B110" s="126"/>
      <c r="C110" s="100"/>
      <c r="D110" s="127">
        <v>1732.6</v>
      </c>
      <c r="E110" s="100"/>
      <c r="F110" s="101"/>
      <c r="G110" s="100">
        <f t="shared" si="3"/>
        <v>0.4126318797780371</v>
      </c>
      <c r="H110" s="100">
        <f t="shared" si="2"/>
        <v>0.03438598998150309</v>
      </c>
      <c r="I110" s="11">
        <v>4198.9</v>
      </c>
      <c r="J110" s="11"/>
      <c r="K110" s="75"/>
    </row>
    <row r="111" spans="1:12" s="15" customFormat="1" ht="17.25" customHeight="1">
      <c r="A111" s="24" t="s">
        <v>115</v>
      </c>
      <c r="B111" s="126"/>
      <c r="C111" s="100"/>
      <c r="D111" s="125">
        <f>80035.4*I111/L111</f>
        <v>69423.97609023488</v>
      </c>
      <c r="E111" s="100"/>
      <c r="F111" s="101"/>
      <c r="G111" s="100">
        <f t="shared" si="3"/>
        <v>16.533848410353876</v>
      </c>
      <c r="H111" s="100">
        <f t="shared" si="2"/>
        <v>1.377820700862823</v>
      </c>
      <c r="I111" s="11">
        <v>4198.9</v>
      </c>
      <c r="J111" s="11"/>
      <c r="K111" s="75"/>
      <c r="L111" s="15">
        <v>4840.7</v>
      </c>
    </row>
    <row r="112" spans="1:11" s="15" customFormat="1" ht="17.25" customHeight="1">
      <c r="A112" s="24" t="s">
        <v>137</v>
      </c>
      <c r="B112" s="126"/>
      <c r="C112" s="100"/>
      <c r="D112" s="125">
        <v>64349.25</v>
      </c>
      <c r="E112" s="100"/>
      <c r="F112" s="101"/>
      <c r="G112" s="100">
        <f t="shared" si="3"/>
        <v>15.325263759556076</v>
      </c>
      <c r="H112" s="100">
        <f t="shared" si="2"/>
        <v>1.2771053132963397</v>
      </c>
      <c r="I112" s="11">
        <v>4198.9</v>
      </c>
      <c r="J112" s="11"/>
      <c r="K112" s="75"/>
    </row>
    <row r="113" spans="1:11" s="15" customFormat="1" ht="17.25" customHeight="1">
      <c r="A113" s="24" t="s">
        <v>114</v>
      </c>
      <c r="B113" s="19"/>
      <c r="C113" s="68"/>
      <c r="D113" s="96">
        <v>126868.34</v>
      </c>
      <c r="E113" s="96"/>
      <c r="F113" s="96"/>
      <c r="G113" s="96">
        <f t="shared" si="3"/>
        <v>30.21466098263831</v>
      </c>
      <c r="H113" s="96">
        <v>2.51</v>
      </c>
      <c r="I113" s="11">
        <v>4198.9</v>
      </c>
      <c r="J113" s="11"/>
      <c r="K113" s="75"/>
    </row>
    <row r="114" spans="1:11" s="31" customFormat="1" ht="13.5" thickBot="1">
      <c r="A114" s="30"/>
      <c r="F114" s="32"/>
      <c r="H114" s="32"/>
      <c r="K114" s="82"/>
    </row>
    <row r="115" spans="1:11" s="31" customFormat="1" ht="20.25" thickBot="1">
      <c r="A115" s="62" t="s">
        <v>99</v>
      </c>
      <c r="B115" s="63"/>
      <c r="C115" s="63"/>
      <c r="D115" s="64">
        <f>D98+D106</f>
        <v>1193787.9060902349</v>
      </c>
      <c r="E115" s="64" t="e">
        <f>E98+E106</f>
        <v>#REF!</v>
      </c>
      <c r="F115" s="64" t="e">
        <f>F98+F106</f>
        <v>#REF!</v>
      </c>
      <c r="G115" s="64">
        <f>G98+G106</f>
        <v>284.3096816228574</v>
      </c>
      <c r="H115" s="64">
        <f>H106+H98</f>
        <v>23.69313149654741</v>
      </c>
      <c r="K115" s="82"/>
    </row>
    <row r="116" spans="1:11" s="29" customFormat="1" ht="19.5">
      <c r="A116" s="66"/>
      <c r="B116" s="33"/>
      <c r="C116" s="33"/>
      <c r="D116" s="33"/>
      <c r="E116" s="33"/>
      <c r="F116" s="67"/>
      <c r="G116" s="33"/>
      <c r="H116" s="67"/>
      <c r="K116" s="81"/>
    </row>
    <row r="117" spans="1:11" s="29" customFormat="1" ht="19.5">
      <c r="A117" s="66"/>
      <c r="B117" s="33"/>
      <c r="C117" s="33"/>
      <c r="D117" s="33"/>
      <c r="E117" s="33"/>
      <c r="F117" s="67"/>
      <c r="G117" s="33"/>
      <c r="H117" s="67"/>
      <c r="K117" s="81"/>
    </row>
    <row r="118" spans="1:11" s="29" customFormat="1" ht="19.5">
      <c r="A118" s="66"/>
      <c r="B118" s="33"/>
      <c r="C118" s="33"/>
      <c r="D118" s="33"/>
      <c r="E118" s="33"/>
      <c r="F118" s="67"/>
      <c r="G118" s="33"/>
      <c r="H118" s="67"/>
      <c r="K118" s="81"/>
    </row>
    <row r="119" spans="1:11" s="31" customFormat="1" ht="14.25">
      <c r="A119" s="139" t="s">
        <v>31</v>
      </c>
      <c r="B119" s="139"/>
      <c r="C119" s="139"/>
      <c r="D119" s="139"/>
      <c r="E119" s="139"/>
      <c r="F119" s="139"/>
      <c r="K119" s="82"/>
    </row>
    <row r="120" spans="6:11" s="31" customFormat="1" ht="12.75">
      <c r="F120" s="32"/>
      <c r="H120" s="32"/>
      <c r="K120" s="82"/>
    </row>
    <row r="121" spans="1:11" s="31" customFormat="1" ht="12.75">
      <c r="A121" s="30" t="s">
        <v>32</v>
      </c>
      <c r="F121" s="32"/>
      <c r="H121" s="32"/>
      <c r="K121" s="82"/>
    </row>
    <row r="122" spans="6:11" s="31" customFormat="1" ht="12.75">
      <c r="F122" s="32"/>
      <c r="H122" s="32"/>
      <c r="K122" s="82"/>
    </row>
    <row r="123" spans="6:11" s="31" customFormat="1" ht="12.75">
      <c r="F123" s="32"/>
      <c r="H123" s="32"/>
      <c r="K123" s="82"/>
    </row>
    <row r="124" spans="6:11" s="31" customFormat="1" ht="12.75">
      <c r="F124" s="32"/>
      <c r="H124" s="32"/>
      <c r="K124" s="82"/>
    </row>
    <row r="125" spans="6:11" s="31" customFormat="1" ht="12.75">
      <c r="F125" s="32"/>
      <c r="H125" s="32"/>
      <c r="K125" s="82"/>
    </row>
    <row r="126" spans="6:11" s="31" customFormat="1" ht="12.75">
      <c r="F126" s="32"/>
      <c r="H126" s="32"/>
      <c r="K126" s="82"/>
    </row>
    <row r="127" spans="6:11" s="31" customFormat="1" ht="12.75">
      <c r="F127" s="32"/>
      <c r="H127" s="32"/>
      <c r="K127" s="82"/>
    </row>
    <row r="128" spans="6:11" s="31" customFormat="1" ht="12.75">
      <c r="F128" s="32"/>
      <c r="H128" s="32"/>
      <c r="K128" s="82"/>
    </row>
    <row r="129" spans="6:11" s="31" customFormat="1" ht="12.75">
      <c r="F129" s="32"/>
      <c r="H129" s="32"/>
      <c r="K129" s="82"/>
    </row>
    <row r="130" spans="6:11" s="31" customFormat="1" ht="12.75">
      <c r="F130" s="32"/>
      <c r="H130" s="32"/>
      <c r="K130" s="82"/>
    </row>
  </sheetData>
  <sheetProtection/>
  <mergeCells count="12">
    <mergeCell ref="A1:H1"/>
    <mergeCell ref="B2:H2"/>
    <mergeCell ref="B3:H3"/>
    <mergeCell ref="B4:H4"/>
    <mergeCell ref="A5:H5"/>
    <mergeCell ref="A6:H6"/>
    <mergeCell ref="A8:H8"/>
    <mergeCell ref="A9:H9"/>
    <mergeCell ref="A10:H10"/>
    <mergeCell ref="A11:H11"/>
    <mergeCell ref="A14:H14"/>
    <mergeCell ref="A119:F119"/>
  </mergeCells>
  <printOptions horizontalCentered="1"/>
  <pageMargins left="0.2" right="0.2" top="0.1968503937007874" bottom="0.2" header="0.2" footer="0.2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Цалко</dc:creator>
  <cp:keywords/>
  <dc:description/>
  <cp:lastModifiedBy>Server</cp:lastModifiedBy>
  <cp:lastPrinted>2014-06-11T08:25:15Z</cp:lastPrinted>
  <dcterms:created xsi:type="dcterms:W3CDTF">2010-04-02T14:46:04Z</dcterms:created>
  <dcterms:modified xsi:type="dcterms:W3CDTF">2014-08-13T06:15:25Z</dcterms:modified>
  <cp:category/>
  <cp:version/>
  <cp:contentType/>
  <cp:contentStatus/>
</cp:coreProperties>
</file>