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30" windowWidth="15480" windowHeight="11640" activeTab="3"/>
  </bookViews>
  <sheets>
    <sheet name="проект" sheetId="1" r:id="rId1"/>
    <sheet name="по заявлению" sheetId="9" r:id="rId2"/>
    <sheet name="тариф население" sheetId="7" r:id="rId3"/>
    <sheet name="по голосованию" sheetId="10" r:id="rId4"/>
    <sheet name="для встроенных" sheetId="11" r:id="rId5"/>
    <sheet name="ЗАО Корпорация" sheetId="8" r:id="rId6"/>
  </sheets>
  <calcPr calcId="145621" fullPrecision="0"/>
</workbook>
</file>

<file path=xl/calcChain.xml><?xml version="1.0" encoding="utf-8"?>
<calcChain xmlns="http://schemas.openxmlformats.org/spreadsheetml/2006/main">
  <c r="E116" i="11" l="1"/>
  <c r="F116" i="11"/>
  <c r="G116" i="11"/>
  <c r="H116" i="11"/>
  <c r="D116" i="11"/>
  <c r="G137" i="11"/>
  <c r="H137" i="11" s="1"/>
  <c r="G136" i="11"/>
  <c r="H136" i="11" s="1"/>
  <c r="D135" i="11"/>
  <c r="G135" i="11" s="1"/>
  <c r="H135" i="11" s="1"/>
  <c r="G134" i="11"/>
  <c r="H134" i="11" s="1"/>
  <c r="G133" i="11"/>
  <c r="H133" i="11" s="1"/>
  <c r="G132" i="11"/>
  <c r="H132" i="11" s="1"/>
  <c r="G131" i="11"/>
  <c r="H131" i="11" s="1"/>
  <c r="G130" i="11"/>
  <c r="H130" i="11" s="1"/>
  <c r="G129" i="11"/>
  <c r="H129" i="11" s="1"/>
  <c r="G128" i="11"/>
  <c r="H128" i="11" s="1"/>
  <c r="D127" i="11"/>
  <c r="G127" i="11" s="1"/>
  <c r="H127" i="11" s="1"/>
  <c r="G126" i="11"/>
  <c r="H126" i="11" s="1"/>
  <c r="D126" i="11"/>
  <c r="D125" i="11"/>
  <c r="G125" i="11" s="1"/>
  <c r="H125" i="11" s="1"/>
  <c r="D124" i="11"/>
  <c r="G124" i="11" s="1"/>
  <c r="H124" i="11" s="1"/>
  <c r="D123" i="11"/>
  <c r="G123" i="11" s="1"/>
  <c r="F120" i="11"/>
  <c r="E120" i="11"/>
  <c r="C120" i="11"/>
  <c r="G115" i="11"/>
  <c r="H115" i="11" s="1"/>
  <c r="H106" i="11"/>
  <c r="E106" i="11" s="1"/>
  <c r="G106" i="11"/>
  <c r="F106" i="11"/>
  <c r="C106" i="11" s="1"/>
  <c r="D106" i="11"/>
  <c r="H105" i="11"/>
  <c r="G105" i="11" s="1"/>
  <c r="E105" i="11"/>
  <c r="C105" i="11"/>
  <c r="G104" i="11"/>
  <c r="D104" i="11" s="1"/>
  <c r="F100" i="11"/>
  <c r="E100" i="11"/>
  <c r="D100" i="11"/>
  <c r="E99" i="11"/>
  <c r="C99" i="11"/>
  <c r="G97" i="11"/>
  <c r="H97" i="11" s="1"/>
  <c r="F97" i="11"/>
  <c r="E97" i="11"/>
  <c r="D97" i="11"/>
  <c r="D95" i="11"/>
  <c r="D94" i="11" s="1"/>
  <c r="G94" i="11" s="1"/>
  <c r="H94" i="11" s="1"/>
  <c r="F94" i="11"/>
  <c r="E94" i="11"/>
  <c r="G91" i="11"/>
  <c r="D91" i="11" s="1"/>
  <c r="G90" i="11"/>
  <c r="D90" i="11" s="1"/>
  <c r="G89" i="11"/>
  <c r="D89" i="11" s="1"/>
  <c r="G88" i="11"/>
  <c r="D88" i="11" s="1"/>
  <c r="G87" i="11"/>
  <c r="D87" i="11" s="1"/>
  <c r="D86" i="11"/>
  <c r="D83" i="11" s="1"/>
  <c r="G83" i="11" s="1"/>
  <c r="H83" i="11" s="1"/>
  <c r="G84" i="11"/>
  <c r="D84" i="11"/>
  <c r="F83" i="11"/>
  <c r="E83" i="11"/>
  <c r="G82" i="11"/>
  <c r="H82" i="11" s="1"/>
  <c r="F82" i="11"/>
  <c r="E82" i="11"/>
  <c r="G81" i="11"/>
  <c r="D81" i="11" s="1"/>
  <c r="D80" i="11"/>
  <c r="D79" i="11"/>
  <c r="D74" i="11"/>
  <c r="D72" i="11" s="1"/>
  <c r="G72" i="11" s="1"/>
  <c r="H72" i="11" s="1"/>
  <c r="F72" i="11"/>
  <c r="E72" i="11"/>
  <c r="D69" i="11"/>
  <c r="E68" i="11"/>
  <c r="D68" i="11"/>
  <c r="C68" i="11"/>
  <c r="D67" i="11"/>
  <c r="D66" i="11"/>
  <c r="E65" i="11"/>
  <c r="D65" i="11"/>
  <c r="C65" i="11"/>
  <c r="E64" i="11"/>
  <c r="D64" i="11"/>
  <c r="C64" i="11"/>
  <c r="E63" i="11"/>
  <c r="D63" i="11"/>
  <c r="C63" i="11"/>
  <c r="D62" i="11"/>
  <c r="E61" i="11"/>
  <c r="D61" i="11"/>
  <c r="C61" i="11"/>
  <c r="D60" i="11"/>
  <c r="F58" i="11"/>
  <c r="D58" i="11"/>
  <c r="G58" i="11" s="1"/>
  <c r="H58" i="11" s="1"/>
  <c r="G57" i="11"/>
  <c r="E57" i="11"/>
  <c r="D57" i="11"/>
  <c r="C57" i="11"/>
  <c r="G56" i="11"/>
  <c r="E56" i="11"/>
  <c r="D56" i="11"/>
  <c r="C56" i="11"/>
  <c r="G55" i="11"/>
  <c r="E55" i="11"/>
  <c r="D55" i="11"/>
  <c r="C55" i="11"/>
  <c r="G54" i="11"/>
  <c r="E54" i="11"/>
  <c r="D54" i="11"/>
  <c r="C54" i="11"/>
  <c r="D50" i="11"/>
  <c r="G50" i="11" s="1"/>
  <c r="H50" i="11" s="1"/>
  <c r="G49" i="11"/>
  <c r="H49" i="11" s="1"/>
  <c r="D49" i="11"/>
  <c r="D48" i="11"/>
  <c r="G48" i="11" s="1"/>
  <c r="H48" i="11" s="1"/>
  <c r="G47" i="11"/>
  <c r="E47" i="11"/>
  <c r="D47" i="11"/>
  <c r="C47" i="11"/>
  <c r="G41" i="11"/>
  <c r="E41" i="11"/>
  <c r="D41" i="11"/>
  <c r="C41" i="11"/>
  <c r="D40" i="11"/>
  <c r="G40" i="11" s="1"/>
  <c r="H40" i="11" s="1"/>
  <c r="G39" i="11"/>
  <c r="H39" i="11" s="1"/>
  <c r="G38" i="11"/>
  <c r="H38" i="11" s="1"/>
  <c r="G37" i="11"/>
  <c r="H37" i="11" s="1"/>
  <c r="G36" i="11"/>
  <c r="H36" i="11" s="1"/>
  <c r="G35" i="11"/>
  <c r="H35" i="11" s="1"/>
  <c r="G34" i="11"/>
  <c r="D34" i="11" s="1"/>
  <c r="E34" i="11"/>
  <c r="C34" i="11"/>
  <c r="G33" i="11"/>
  <c r="D33" i="11" s="1"/>
  <c r="E33" i="11"/>
  <c r="C33" i="11"/>
  <c r="G32" i="11"/>
  <c r="D32" i="11" s="1"/>
  <c r="E32" i="11"/>
  <c r="C32" i="11"/>
  <c r="H23" i="11"/>
  <c r="E23" i="11" s="1"/>
  <c r="G23" i="11"/>
  <c r="C23" i="11"/>
  <c r="H22" i="11"/>
  <c r="H15" i="11" s="1"/>
  <c r="C15" i="11"/>
  <c r="E58" i="11" l="1"/>
  <c r="E15" i="11"/>
  <c r="G15" i="11"/>
  <c r="D15" i="11" s="1"/>
  <c r="F140" i="11"/>
  <c r="C116" i="11"/>
  <c r="H123" i="11"/>
  <c r="H120" i="11" s="1"/>
  <c r="G120" i="11"/>
  <c r="D140" i="11"/>
  <c r="G100" i="11"/>
  <c r="H100" i="11" s="1"/>
  <c r="D120" i="11"/>
  <c r="H69" i="8"/>
  <c r="E69" i="8"/>
  <c r="F69" i="8"/>
  <c r="G69" i="8"/>
  <c r="D69" i="8"/>
  <c r="H23" i="8"/>
  <c r="D68" i="8"/>
  <c r="G68" i="8"/>
  <c r="H22" i="10"/>
  <c r="H105" i="10"/>
  <c r="E140" i="11" l="1"/>
  <c r="H140" i="11"/>
  <c r="G140" i="11"/>
  <c r="G138" i="10"/>
  <c r="H138" i="10" s="1"/>
  <c r="G137" i="10"/>
  <c r="H137" i="10" s="1"/>
  <c r="G136" i="10"/>
  <c r="H136" i="10" s="1"/>
  <c r="D136" i="10"/>
  <c r="H135" i="10"/>
  <c r="G135" i="10"/>
  <c r="H134" i="10"/>
  <c r="G134" i="10"/>
  <c r="H133" i="10"/>
  <c r="G133" i="10"/>
  <c r="H132" i="10"/>
  <c r="G132" i="10"/>
  <c r="H131" i="10"/>
  <c r="G131" i="10"/>
  <c r="H130" i="10"/>
  <c r="G130" i="10"/>
  <c r="H129" i="10"/>
  <c r="G129" i="10"/>
  <c r="D128" i="10"/>
  <c r="G128" i="10" s="1"/>
  <c r="H128" i="10" s="1"/>
  <c r="D127" i="10"/>
  <c r="G127" i="10" s="1"/>
  <c r="H127" i="10" s="1"/>
  <c r="D126" i="10"/>
  <c r="G126" i="10" s="1"/>
  <c r="H126" i="10" s="1"/>
  <c r="G125" i="10"/>
  <c r="H125" i="10" s="1"/>
  <c r="D125" i="10"/>
  <c r="D124" i="10"/>
  <c r="G124" i="10" s="1"/>
  <c r="F121" i="10"/>
  <c r="E121" i="10"/>
  <c r="C121" i="10"/>
  <c r="I116" i="10"/>
  <c r="G116" i="10"/>
  <c r="H115" i="10"/>
  <c r="G115" i="10"/>
  <c r="H106" i="10"/>
  <c r="E106" i="10" s="1"/>
  <c r="G106" i="10"/>
  <c r="F106" i="10"/>
  <c r="C106" i="10" s="1"/>
  <c r="D106" i="10"/>
  <c r="G105" i="10"/>
  <c r="E105" i="10"/>
  <c r="C105" i="10"/>
  <c r="G104" i="10"/>
  <c r="D104" i="10" s="1"/>
  <c r="F100" i="10"/>
  <c r="E100" i="10"/>
  <c r="D100" i="10"/>
  <c r="G100" i="10" s="1"/>
  <c r="H100" i="10" s="1"/>
  <c r="E99" i="10"/>
  <c r="C99" i="10"/>
  <c r="G97" i="10"/>
  <c r="H97" i="10" s="1"/>
  <c r="F97" i="10"/>
  <c r="E97" i="10"/>
  <c r="D97" i="10"/>
  <c r="D95" i="10"/>
  <c r="D94" i="10" s="1"/>
  <c r="G94" i="10" s="1"/>
  <c r="H94" i="10" s="1"/>
  <c r="F94" i="10"/>
  <c r="E94" i="10"/>
  <c r="G91" i="10"/>
  <c r="D91" i="10" s="1"/>
  <c r="G90" i="10"/>
  <c r="D90" i="10" s="1"/>
  <c r="G89" i="10"/>
  <c r="D89" i="10" s="1"/>
  <c r="G88" i="10"/>
  <c r="D88" i="10" s="1"/>
  <c r="G87" i="10"/>
  <c r="D87" i="10" s="1"/>
  <c r="D86" i="10"/>
  <c r="D83" i="10" s="1"/>
  <c r="G83" i="10" s="1"/>
  <c r="H83" i="10" s="1"/>
  <c r="G84" i="10"/>
  <c r="D84" i="10"/>
  <c r="F83" i="10"/>
  <c r="E83" i="10"/>
  <c r="G82" i="10"/>
  <c r="H82" i="10" s="1"/>
  <c r="F82" i="10"/>
  <c r="E82" i="10"/>
  <c r="G81" i="10"/>
  <c r="D81" i="10" s="1"/>
  <c r="D80" i="10"/>
  <c r="D79" i="10"/>
  <c r="D74" i="10"/>
  <c r="D72" i="10" s="1"/>
  <c r="G72" i="10" s="1"/>
  <c r="H72" i="10" s="1"/>
  <c r="F72" i="10"/>
  <c r="E72" i="10"/>
  <c r="D69" i="10"/>
  <c r="E68" i="10"/>
  <c r="D68" i="10"/>
  <c r="C68" i="10"/>
  <c r="D67" i="10"/>
  <c r="D66" i="10"/>
  <c r="E65" i="10"/>
  <c r="D65" i="10"/>
  <c r="C65" i="10"/>
  <c r="E64" i="10"/>
  <c r="D64" i="10"/>
  <c r="C64" i="10"/>
  <c r="E63" i="10"/>
  <c r="D63" i="10"/>
  <c r="C63" i="10"/>
  <c r="D62" i="10"/>
  <c r="E61" i="10"/>
  <c r="D61" i="10"/>
  <c r="C61" i="10"/>
  <c r="D60" i="10"/>
  <c r="D58" i="10" s="1"/>
  <c r="G58" i="10" s="1"/>
  <c r="H58" i="10" s="1"/>
  <c r="F58" i="10"/>
  <c r="G57" i="10"/>
  <c r="E57" i="10"/>
  <c r="D57" i="10"/>
  <c r="C57" i="10"/>
  <c r="G56" i="10"/>
  <c r="E56" i="10"/>
  <c r="D56" i="10"/>
  <c r="C56" i="10"/>
  <c r="G55" i="10"/>
  <c r="E55" i="10"/>
  <c r="D55" i="10"/>
  <c r="C55" i="10"/>
  <c r="G54" i="10"/>
  <c r="E54" i="10"/>
  <c r="D54" i="10"/>
  <c r="C54" i="10"/>
  <c r="D50" i="10"/>
  <c r="G50" i="10" s="1"/>
  <c r="H50" i="10" s="1"/>
  <c r="G49" i="10"/>
  <c r="H49" i="10" s="1"/>
  <c r="D49" i="10"/>
  <c r="D48" i="10"/>
  <c r="G48" i="10" s="1"/>
  <c r="H48" i="10" s="1"/>
  <c r="G47" i="10"/>
  <c r="E47" i="10"/>
  <c r="D47" i="10"/>
  <c r="C47" i="10"/>
  <c r="G41" i="10"/>
  <c r="E41" i="10"/>
  <c r="D41" i="10"/>
  <c r="C41" i="10"/>
  <c r="D40" i="10"/>
  <c r="G40" i="10" s="1"/>
  <c r="H40" i="10" s="1"/>
  <c r="G39" i="10"/>
  <c r="H39" i="10" s="1"/>
  <c r="G38" i="10"/>
  <c r="H38" i="10" s="1"/>
  <c r="G37" i="10"/>
  <c r="H37" i="10" s="1"/>
  <c r="G36" i="10"/>
  <c r="H36" i="10" s="1"/>
  <c r="G35" i="10"/>
  <c r="H35" i="10" s="1"/>
  <c r="G34" i="10"/>
  <c r="D34" i="10" s="1"/>
  <c r="E34" i="10"/>
  <c r="C34" i="10"/>
  <c r="G33" i="10"/>
  <c r="D33" i="10" s="1"/>
  <c r="E33" i="10"/>
  <c r="C33" i="10"/>
  <c r="G32" i="10"/>
  <c r="D32" i="10" s="1"/>
  <c r="E32" i="10"/>
  <c r="C32" i="10"/>
  <c r="H23" i="10"/>
  <c r="E23" i="10" s="1"/>
  <c r="G23" i="10"/>
  <c r="C23" i="10"/>
  <c r="H15" i="10"/>
  <c r="C15" i="10"/>
  <c r="E58" i="10" l="1"/>
  <c r="F117" i="10"/>
  <c r="D116" i="10"/>
  <c r="H124" i="10"/>
  <c r="H121" i="10" s="1"/>
  <c r="G121" i="10"/>
  <c r="E15" i="10"/>
  <c r="G15" i="10"/>
  <c r="D15" i="10" s="1"/>
  <c r="D117" i="10" s="1"/>
  <c r="F141" i="10"/>
  <c r="C117" i="10"/>
  <c r="E117" i="10"/>
  <c r="E141" i="10" s="1"/>
  <c r="H117" i="10"/>
  <c r="H141" i="10" s="1"/>
  <c r="D121" i="10"/>
  <c r="H23" i="7"/>
  <c r="D141" i="10" l="1"/>
  <c r="G117" i="10"/>
  <c r="G141" i="10" s="1"/>
  <c r="E73" i="8"/>
  <c r="F73" i="8"/>
  <c r="E122" i="7"/>
  <c r="F122" i="7"/>
  <c r="D88" i="8" l="1"/>
  <c r="G88" i="8" s="1"/>
  <c r="H88" i="8" s="1"/>
  <c r="D137" i="7"/>
  <c r="G137" i="7" s="1"/>
  <c r="H137" i="7" s="1"/>
  <c r="G132" i="7"/>
  <c r="H132" i="7" s="1"/>
  <c r="G133" i="7"/>
  <c r="H133" i="7" s="1"/>
  <c r="G134" i="7"/>
  <c r="H134" i="7" s="1"/>
  <c r="G135" i="7"/>
  <c r="H135" i="7" s="1"/>
  <c r="G136" i="7"/>
  <c r="H136" i="7" s="1"/>
  <c r="G138" i="7"/>
  <c r="H138" i="7" s="1"/>
  <c r="G139" i="7"/>
  <c r="H139" i="7" s="1"/>
  <c r="D125" i="9"/>
  <c r="H144" i="9"/>
  <c r="H145" i="9"/>
  <c r="H146" i="9"/>
  <c r="H147" i="9"/>
  <c r="H148" i="9"/>
  <c r="H149" i="9"/>
  <c r="H150" i="9"/>
  <c r="H151" i="9"/>
  <c r="G144" i="9"/>
  <c r="G145" i="9"/>
  <c r="G146" i="9"/>
  <c r="G147" i="9"/>
  <c r="G148" i="9"/>
  <c r="G149" i="9"/>
  <c r="G150" i="9"/>
  <c r="G151" i="9"/>
  <c r="G143" i="9"/>
  <c r="H143" i="9" s="1"/>
  <c r="G142" i="9"/>
  <c r="H142" i="9" s="1"/>
  <c r="G141" i="9"/>
  <c r="H141" i="9" s="1"/>
  <c r="G140" i="9"/>
  <c r="H140" i="9" s="1"/>
  <c r="G139" i="9"/>
  <c r="H139" i="9" s="1"/>
  <c r="G138" i="9"/>
  <c r="H138" i="9" s="1"/>
  <c r="G137" i="9"/>
  <c r="H137" i="9" s="1"/>
  <c r="G136" i="9"/>
  <c r="H136" i="9" s="1"/>
  <c r="G135" i="9"/>
  <c r="H135" i="9" s="1"/>
  <c r="G134" i="9"/>
  <c r="H134" i="9" s="1"/>
  <c r="G133" i="9"/>
  <c r="H133" i="9" s="1"/>
  <c r="G132" i="9"/>
  <c r="H132" i="9" s="1"/>
  <c r="G131" i="9"/>
  <c r="H131" i="9" s="1"/>
  <c r="G130" i="9"/>
  <c r="H130" i="9" s="1"/>
  <c r="G129" i="9"/>
  <c r="H129" i="9" s="1"/>
  <c r="G128" i="9"/>
  <c r="H128" i="9" s="1"/>
  <c r="F125" i="9"/>
  <c r="E125" i="9"/>
  <c r="C125" i="9"/>
  <c r="I120" i="9"/>
  <c r="G120" i="9"/>
  <c r="D120" i="9" s="1"/>
  <c r="H119" i="9"/>
  <c r="G119" i="9"/>
  <c r="H110" i="9"/>
  <c r="E110" i="9" s="1"/>
  <c r="G110" i="9"/>
  <c r="F110" i="9"/>
  <c r="C110" i="9" s="1"/>
  <c r="D110" i="9"/>
  <c r="G109" i="9"/>
  <c r="E109" i="9"/>
  <c r="D109" i="9"/>
  <c r="C109" i="9"/>
  <c r="G108" i="9"/>
  <c r="D108" i="9" s="1"/>
  <c r="H104" i="9"/>
  <c r="F104" i="9"/>
  <c r="E104" i="9"/>
  <c r="D104" i="9"/>
  <c r="E103" i="9"/>
  <c r="C103" i="9"/>
  <c r="H101" i="9"/>
  <c r="F101" i="9"/>
  <c r="E101" i="9"/>
  <c r="D101" i="9"/>
  <c r="H98" i="9"/>
  <c r="F98" i="9"/>
  <c r="E98" i="9"/>
  <c r="D98" i="9"/>
  <c r="G95" i="9"/>
  <c r="D95" i="9" s="1"/>
  <c r="G94" i="9"/>
  <c r="D94" i="9" s="1"/>
  <c r="G93" i="9"/>
  <c r="D93" i="9" s="1"/>
  <c r="G92" i="9"/>
  <c r="D92" i="9" s="1"/>
  <c r="G91" i="9"/>
  <c r="D91" i="9" s="1"/>
  <c r="G88" i="9"/>
  <c r="D88" i="9" s="1"/>
  <c r="H87" i="9"/>
  <c r="F87" i="9"/>
  <c r="E87" i="9"/>
  <c r="D87" i="9"/>
  <c r="H85" i="9"/>
  <c r="F85" i="9"/>
  <c r="E85" i="9"/>
  <c r="D85" i="9"/>
  <c r="G84" i="9"/>
  <c r="D84" i="9" s="1"/>
  <c r="D82" i="9"/>
  <c r="D76" i="9"/>
  <c r="H74" i="9"/>
  <c r="F74" i="9"/>
  <c r="E74" i="9"/>
  <c r="D74" i="9"/>
  <c r="E70" i="9"/>
  <c r="C70" i="9"/>
  <c r="E67" i="9"/>
  <c r="C67" i="9"/>
  <c r="E66" i="9"/>
  <c r="C66" i="9"/>
  <c r="E65" i="9"/>
  <c r="C65" i="9"/>
  <c r="E64" i="9"/>
  <c r="E59" i="9" s="1"/>
  <c r="E62" i="9"/>
  <c r="C62" i="9"/>
  <c r="H59" i="9"/>
  <c r="F59" i="9"/>
  <c r="F121" i="9" s="1"/>
  <c r="D59" i="9"/>
  <c r="G58" i="9"/>
  <c r="E58" i="9"/>
  <c r="D58" i="9"/>
  <c r="C58" i="9"/>
  <c r="G57" i="9"/>
  <c r="E57" i="9"/>
  <c r="D57" i="9"/>
  <c r="C57" i="9"/>
  <c r="G56" i="9"/>
  <c r="E56" i="9"/>
  <c r="D56" i="9"/>
  <c r="C56" i="9"/>
  <c r="G55" i="9"/>
  <c r="E55" i="9"/>
  <c r="D55" i="9"/>
  <c r="C55" i="9"/>
  <c r="H51" i="9"/>
  <c r="G51" i="9"/>
  <c r="H50" i="9"/>
  <c r="G50" i="9"/>
  <c r="H49" i="9"/>
  <c r="G49" i="9"/>
  <c r="G48" i="9"/>
  <c r="E48" i="9"/>
  <c r="D48" i="9"/>
  <c r="C48" i="9"/>
  <c r="G42" i="9"/>
  <c r="D42" i="9" s="1"/>
  <c r="E42" i="9"/>
  <c r="C42" i="9"/>
  <c r="D41" i="9"/>
  <c r="G41" i="9" s="1"/>
  <c r="H41" i="9" s="1"/>
  <c r="G40" i="9"/>
  <c r="H40" i="9" s="1"/>
  <c r="G39" i="9"/>
  <c r="H39" i="9" s="1"/>
  <c r="G38" i="9"/>
  <c r="H38" i="9" s="1"/>
  <c r="G37" i="9"/>
  <c r="H37" i="9" s="1"/>
  <c r="G36" i="9"/>
  <c r="H36" i="9" s="1"/>
  <c r="G35" i="9"/>
  <c r="E35" i="9"/>
  <c r="D35" i="9"/>
  <c r="C35" i="9"/>
  <c r="G34" i="9"/>
  <c r="E34" i="9"/>
  <c r="D34" i="9"/>
  <c r="C34" i="9"/>
  <c r="G33" i="9"/>
  <c r="E33" i="9"/>
  <c r="D33" i="9"/>
  <c r="C33" i="9"/>
  <c r="G24" i="9"/>
  <c r="H24" i="9" s="1"/>
  <c r="E24" i="9" s="1"/>
  <c r="C24" i="9"/>
  <c r="H23" i="9"/>
  <c r="H14" i="9"/>
  <c r="G14" i="9" s="1"/>
  <c r="D14" i="9" s="1"/>
  <c r="D121" i="9" s="1"/>
  <c r="C14" i="9"/>
  <c r="H125" i="9" l="1"/>
  <c r="H153" i="9" s="1"/>
  <c r="G125" i="9"/>
  <c r="G153" i="9" s="1"/>
  <c r="D153" i="9"/>
  <c r="F153" i="9"/>
  <c r="C121" i="9"/>
  <c r="E14" i="9"/>
  <c r="E121" i="9" s="1"/>
  <c r="E153" i="9" s="1"/>
  <c r="G87" i="8"/>
  <c r="H87" i="8" s="1"/>
  <c r="G86" i="8"/>
  <c r="H86" i="8" s="1"/>
  <c r="G85" i="8"/>
  <c r="H85" i="8" s="1"/>
  <c r="G84" i="8"/>
  <c r="H84" i="8" s="1"/>
  <c r="G83" i="8"/>
  <c r="H83" i="8" s="1"/>
  <c r="G82" i="8"/>
  <c r="H82" i="8" s="1"/>
  <c r="G81" i="8"/>
  <c r="H81" i="8" s="1"/>
  <c r="D80" i="8"/>
  <c r="G80" i="8" s="1"/>
  <c r="H80" i="8" s="1"/>
  <c r="D79" i="8"/>
  <c r="G79" i="8" s="1"/>
  <c r="H79" i="8" s="1"/>
  <c r="D78" i="8"/>
  <c r="G78" i="8" s="1"/>
  <c r="H78" i="8" s="1"/>
  <c r="D77" i="8"/>
  <c r="G77" i="8" s="1"/>
  <c r="H77" i="8" s="1"/>
  <c r="D76" i="8"/>
  <c r="C73" i="8"/>
  <c r="D66" i="8"/>
  <c r="D65" i="8" s="1"/>
  <c r="G65" i="8" s="1"/>
  <c r="H65" i="8" s="1"/>
  <c r="F65" i="8"/>
  <c r="E65" i="8"/>
  <c r="G63" i="8"/>
  <c r="D63" i="8" s="1"/>
  <c r="G62" i="8"/>
  <c r="D62" i="8" s="1"/>
  <c r="G61" i="8"/>
  <c r="D61" i="8" s="1"/>
  <c r="G60" i="8"/>
  <c r="D60" i="8" s="1"/>
  <c r="G59" i="8"/>
  <c r="D59" i="8" s="1"/>
  <c r="D58" i="8"/>
  <c r="G57" i="8"/>
  <c r="D57" i="8" s="1"/>
  <c r="F56" i="8"/>
  <c r="E56" i="8"/>
  <c r="G55" i="8"/>
  <c r="H55" i="8" s="1"/>
  <c r="F55" i="8"/>
  <c r="E55" i="8"/>
  <c r="G54" i="8"/>
  <c r="D54" i="8" s="1"/>
  <c r="D53" i="8"/>
  <c r="D52" i="8"/>
  <c r="D51" i="8"/>
  <c r="F49" i="8"/>
  <c r="E49" i="8"/>
  <c r="D46" i="8"/>
  <c r="E45" i="8"/>
  <c r="D45" i="8"/>
  <c r="C45" i="8"/>
  <c r="D44" i="8"/>
  <c r="D43" i="8"/>
  <c r="E42" i="8"/>
  <c r="D42" i="8"/>
  <c r="C42" i="8"/>
  <c r="E41" i="8"/>
  <c r="D41" i="8"/>
  <c r="C41" i="8"/>
  <c r="E40" i="8"/>
  <c r="D40" i="8"/>
  <c r="C40" i="8"/>
  <c r="D39" i="8"/>
  <c r="E38" i="8"/>
  <c r="D38" i="8"/>
  <c r="C38" i="8"/>
  <c r="D37" i="8"/>
  <c r="F35" i="8"/>
  <c r="G34" i="8"/>
  <c r="D34" i="8" s="1"/>
  <c r="E34" i="8"/>
  <c r="C34" i="8"/>
  <c r="G33" i="8"/>
  <c r="D33" i="8" s="1"/>
  <c r="E33" i="8"/>
  <c r="C33" i="8"/>
  <c r="G32" i="8"/>
  <c r="D32" i="8" s="1"/>
  <c r="E32" i="8"/>
  <c r="C32" i="8"/>
  <c r="D28" i="8"/>
  <c r="G28" i="8" s="1"/>
  <c r="H28" i="8" s="1"/>
  <c r="D27" i="8"/>
  <c r="G27" i="8" s="1"/>
  <c r="H27" i="8" s="1"/>
  <c r="D26" i="8"/>
  <c r="G26" i="8" s="1"/>
  <c r="H26" i="8" s="1"/>
  <c r="G25" i="8"/>
  <c r="D25" i="8" s="1"/>
  <c r="E25" i="8"/>
  <c r="C25" i="8"/>
  <c r="G24" i="8"/>
  <c r="D24" i="8" s="1"/>
  <c r="E24" i="8"/>
  <c r="C24" i="8"/>
  <c r="H16" i="8"/>
  <c r="G16" i="8" s="1"/>
  <c r="D16" i="8" s="1"/>
  <c r="C16" i="8"/>
  <c r="D129" i="7"/>
  <c r="G129" i="7" s="1"/>
  <c r="H129" i="7" s="1"/>
  <c r="D128" i="7"/>
  <c r="D127" i="7"/>
  <c r="G127" i="7" s="1"/>
  <c r="H127" i="7" s="1"/>
  <c r="D126" i="7"/>
  <c r="G126" i="7" s="1"/>
  <c r="H126" i="7" s="1"/>
  <c r="D125" i="7"/>
  <c r="D96" i="7"/>
  <c r="D87" i="7"/>
  <c r="D84" i="7" s="1"/>
  <c r="G84" i="7" s="1"/>
  <c r="H84" i="7" s="1"/>
  <c r="D81" i="7"/>
  <c r="D75" i="7"/>
  <c r="D70" i="7"/>
  <c r="D69" i="7"/>
  <c r="D68" i="7"/>
  <c r="D67" i="7"/>
  <c r="D66" i="7"/>
  <c r="D65" i="7"/>
  <c r="D64" i="7"/>
  <c r="D63" i="7"/>
  <c r="D62" i="7"/>
  <c r="D61" i="7"/>
  <c r="D51" i="7"/>
  <c r="D50" i="7"/>
  <c r="G50" i="7" s="1"/>
  <c r="H50" i="7" s="1"/>
  <c r="D49" i="7"/>
  <c r="G131" i="7"/>
  <c r="H131" i="7" s="1"/>
  <c r="G130" i="7"/>
  <c r="H130" i="7" s="1"/>
  <c r="G128" i="7"/>
  <c r="H128" i="7" s="1"/>
  <c r="C122" i="7"/>
  <c r="I117" i="7"/>
  <c r="G117" i="7"/>
  <c r="G116" i="7"/>
  <c r="H116" i="7" s="1"/>
  <c r="H107" i="7"/>
  <c r="E107" i="7" s="1"/>
  <c r="G107" i="7"/>
  <c r="F107" i="7"/>
  <c r="C107" i="7" s="1"/>
  <c r="D107" i="7"/>
  <c r="G106" i="7"/>
  <c r="E106" i="7"/>
  <c r="D106" i="7"/>
  <c r="C106" i="7"/>
  <c r="G105" i="7"/>
  <c r="D105" i="7" s="1"/>
  <c r="F101" i="7"/>
  <c r="E101" i="7"/>
  <c r="D101" i="7"/>
  <c r="G101" i="7" s="1"/>
  <c r="H101" i="7" s="1"/>
  <c r="E100" i="7"/>
  <c r="E98" i="7" s="1"/>
  <c r="C100" i="7"/>
  <c r="F98" i="7"/>
  <c r="D98" i="7"/>
  <c r="G98" i="7" s="1"/>
  <c r="H98" i="7" s="1"/>
  <c r="F95" i="7"/>
  <c r="E95" i="7"/>
  <c r="D95" i="7"/>
  <c r="G95" i="7" s="1"/>
  <c r="H95" i="7" s="1"/>
  <c r="G92" i="7"/>
  <c r="D92" i="7" s="1"/>
  <c r="G91" i="7"/>
  <c r="D91" i="7" s="1"/>
  <c r="G90" i="7"/>
  <c r="D90" i="7" s="1"/>
  <c r="G89" i="7"/>
  <c r="D89" i="7" s="1"/>
  <c r="G88" i="7"/>
  <c r="D88" i="7" s="1"/>
  <c r="G85" i="7"/>
  <c r="D85" i="7" s="1"/>
  <c r="F84" i="7"/>
  <c r="E84" i="7"/>
  <c r="F83" i="7"/>
  <c r="E83" i="7"/>
  <c r="G83" i="7"/>
  <c r="H83" i="7" s="1"/>
  <c r="G82" i="7"/>
  <c r="D82" i="7" s="1"/>
  <c r="D80" i="7"/>
  <c r="F73" i="7"/>
  <c r="E73" i="7"/>
  <c r="E69" i="7"/>
  <c r="C69" i="7"/>
  <c r="E66" i="7"/>
  <c r="C66" i="7"/>
  <c r="E65" i="7"/>
  <c r="C65" i="7"/>
  <c r="E64" i="7"/>
  <c r="C64" i="7"/>
  <c r="E62" i="7"/>
  <c r="E59" i="7" s="1"/>
  <c r="C62" i="7"/>
  <c r="F59" i="7"/>
  <c r="G58" i="7"/>
  <c r="D58" i="7" s="1"/>
  <c r="E58" i="7"/>
  <c r="C58" i="7"/>
  <c r="G57" i="7"/>
  <c r="D57" i="7" s="1"/>
  <c r="E57" i="7"/>
  <c r="C57" i="7"/>
  <c r="G56" i="7"/>
  <c r="D56" i="7" s="1"/>
  <c r="E56" i="7"/>
  <c r="C56" i="7"/>
  <c r="G55" i="7"/>
  <c r="D55" i="7" s="1"/>
  <c r="E55" i="7"/>
  <c r="C55" i="7"/>
  <c r="G51" i="7"/>
  <c r="H51" i="7" s="1"/>
  <c r="G49" i="7"/>
  <c r="H49" i="7" s="1"/>
  <c r="G48" i="7"/>
  <c r="D48" i="7" s="1"/>
  <c r="E48" i="7"/>
  <c r="C48" i="7"/>
  <c r="G42" i="7"/>
  <c r="D42" i="7" s="1"/>
  <c r="E42" i="7"/>
  <c r="C42" i="7"/>
  <c r="D41" i="7"/>
  <c r="G41" i="7" s="1"/>
  <c r="H41" i="7" s="1"/>
  <c r="G40" i="7"/>
  <c r="H40" i="7" s="1"/>
  <c r="G39" i="7"/>
  <c r="H39" i="7" s="1"/>
  <c r="G38" i="7"/>
  <c r="H38" i="7" s="1"/>
  <c r="G37" i="7"/>
  <c r="H37" i="7" s="1"/>
  <c r="G36" i="7"/>
  <c r="H36" i="7" s="1"/>
  <c r="G35" i="7"/>
  <c r="D35" i="7" s="1"/>
  <c r="E35" i="7"/>
  <c r="C35" i="7"/>
  <c r="G34" i="7"/>
  <c r="D34" i="7" s="1"/>
  <c r="E34" i="7"/>
  <c r="C34" i="7"/>
  <c r="G33" i="7"/>
  <c r="D33" i="7" s="1"/>
  <c r="E33" i="7"/>
  <c r="C33" i="7"/>
  <c r="G24" i="7"/>
  <c r="H24" i="7" s="1"/>
  <c r="E24" i="7" s="1"/>
  <c r="C24" i="7"/>
  <c r="H15" i="7"/>
  <c r="G15" i="7" s="1"/>
  <c r="D15" i="7" s="1"/>
  <c r="C15" i="7"/>
  <c r="E125" i="1"/>
  <c r="F125" i="1"/>
  <c r="G125" i="1"/>
  <c r="H125" i="1"/>
  <c r="D125" i="1"/>
  <c r="D87" i="1"/>
  <c r="D85" i="1"/>
  <c r="D59" i="1"/>
  <c r="H119" i="1"/>
  <c r="G119" i="1"/>
  <c r="D73" i="8" l="1"/>
  <c r="D122" i="7"/>
  <c r="G76" i="8"/>
  <c r="D35" i="8"/>
  <c r="G35" i="8" s="1"/>
  <c r="H35" i="8" s="1"/>
  <c r="F90" i="8"/>
  <c r="G125" i="7"/>
  <c r="D49" i="8"/>
  <c r="G49" i="8" s="1"/>
  <c r="H49" i="8" s="1"/>
  <c r="D56" i="8"/>
  <c r="G56" i="8" s="1"/>
  <c r="H56" i="8" s="1"/>
  <c r="D59" i="7"/>
  <c r="G59" i="7" s="1"/>
  <c r="D73" i="7"/>
  <c r="G73" i="7" s="1"/>
  <c r="H73" i="7" s="1"/>
  <c r="F118" i="7"/>
  <c r="F142" i="7" s="1"/>
  <c r="D117" i="7"/>
  <c r="E35" i="8"/>
  <c r="E16" i="8"/>
  <c r="E15" i="7"/>
  <c r="E118" i="7" s="1"/>
  <c r="D76" i="1"/>
  <c r="D74" i="1" s="1"/>
  <c r="D41" i="1"/>
  <c r="G24" i="1"/>
  <c r="H24" i="1" s="1"/>
  <c r="H76" i="8" l="1"/>
  <c r="H73" i="8" s="1"/>
  <c r="G73" i="8"/>
  <c r="E90" i="8"/>
  <c r="H125" i="7"/>
  <c r="H122" i="7" s="1"/>
  <c r="G122" i="7"/>
  <c r="G90" i="8"/>
  <c r="D90" i="8"/>
  <c r="C118" i="7"/>
  <c r="E142" i="7"/>
  <c r="H59" i="7"/>
  <c r="H118" i="7" s="1"/>
  <c r="G118" i="7"/>
  <c r="C69" i="8"/>
  <c r="D118" i="7"/>
  <c r="D142" i="7" s="1"/>
  <c r="H23" i="1"/>
  <c r="H14" i="1" s="1"/>
  <c r="G130" i="1"/>
  <c r="H130" i="1" s="1"/>
  <c r="G131" i="1"/>
  <c r="H131" i="1" s="1"/>
  <c r="G132" i="1"/>
  <c r="H132" i="1" s="1"/>
  <c r="G133" i="1"/>
  <c r="H133" i="1" s="1"/>
  <c r="G134" i="1"/>
  <c r="H134" i="1" s="1"/>
  <c r="H90" i="8" l="1"/>
  <c r="H142" i="7"/>
  <c r="G142" i="7"/>
  <c r="G144" i="1"/>
  <c r="H144" i="1" s="1"/>
  <c r="G145" i="1"/>
  <c r="H145" i="1" s="1"/>
  <c r="G146" i="1"/>
  <c r="H146" i="1" s="1"/>
  <c r="G147" i="1"/>
  <c r="H147" i="1" s="1"/>
  <c r="G148" i="1"/>
  <c r="H148" i="1" s="1"/>
  <c r="C24" i="1" l="1"/>
  <c r="E24" i="1"/>
  <c r="I120" i="1" l="1"/>
  <c r="E57" i="1"/>
  <c r="G57" i="1"/>
  <c r="D57" i="1" s="1"/>
  <c r="E58" i="1"/>
  <c r="G58" i="1"/>
  <c r="D58" i="1" s="1"/>
  <c r="E48" i="1"/>
  <c r="G48" i="1"/>
  <c r="D48" i="1" s="1"/>
  <c r="G42" i="1"/>
  <c r="D42" i="1" s="1"/>
  <c r="G35" i="1"/>
  <c r="G34" i="1"/>
  <c r="D34" i="1" s="1"/>
  <c r="G33" i="1"/>
  <c r="G14" i="1"/>
  <c r="D1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G129" i="1"/>
  <c r="H129" i="1" s="1"/>
  <c r="G128" i="1"/>
  <c r="C125" i="1"/>
  <c r="G120" i="1"/>
  <c r="D120" i="1" s="1"/>
  <c r="H110" i="1"/>
  <c r="E110" i="1" s="1"/>
  <c r="G110" i="1"/>
  <c r="F110" i="1"/>
  <c r="C110" i="1" s="1"/>
  <c r="D110" i="1"/>
  <c r="G109" i="1"/>
  <c r="D109" i="1" s="1"/>
  <c r="E109" i="1"/>
  <c r="C109" i="1"/>
  <c r="G108" i="1"/>
  <c r="D108" i="1" s="1"/>
  <c r="H104" i="1"/>
  <c r="F104" i="1"/>
  <c r="E104" i="1"/>
  <c r="D104" i="1"/>
  <c r="E103" i="1"/>
  <c r="C103" i="1"/>
  <c r="H101" i="1"/>
  <c r="F101" i="1"/>
  <c r="E101" i="1"/>
  <c r="D101" i="1"/>
  <c r="H98" i="1"/>
  <c r="F98" i="1"/>
  <c r="E98" i="1"/>
  <c r="D98" i="1"/>
  <c r="G95" i="1"/>
  <c r="D95" i="1" s="1"/>
  <c r="G94" i="1"/>
  <c r="D94" i="1" s="1"/>
  <c r="G93" i="1"/>
  <c r="D93" i="1" s="1"/>
  <c r="G92" i="1"/>
  <c r="D92" i="1" s="1"/>
  <c r="G91" i="1"/>
  <c r="D91" i="1" s="1"/>
  <c r="G88" i="1"/>
  <c r="D88" i="1" s="1"/>
  <c r="H87" i="1"/>
  <c r="F87" i="1"/>
  <c r="E87" i="1"/>
  <c r="H85" i="1"/>
  <c r="F85" i="1"/>
  <c r="E85" i="1"/>
  <c r="G84" i="1"/>
  <c r="D84" i="1" s="1"/>
  <c r="D82" i="1"/>
  <c r="H74" i="1"/>
  <c r="F74" i="1"/>
  <c r="E74" i="1"/>
  <c r="E70" i="1"/>
  <c r="C70" i="1"/>
  <c r="E67" i="1"/>
  <c r="C67" i="1"/>
  <c r="E66" i="1"/>
  <c r="C66" i="1"/>
  <c r="E65" i="1"/>
  <c r="C65" i="1"/>
  <c r="E64" i="1"/>
  <c r="E59" i="1" s="1"/>
  <c r="E62" i="1"/>
  <c r="C62" i="1"/>
  <c r="H59" i="1"/>
  <c r="F59" i="1"/>
  <c r="C58" i="1"/>
  <c r="C57" i="1"/>
  <c r="G56" i="1"/>
  <c r="E56" i="1"/>
  <c r="D56" i="1"/>
  <c r="C56" i="1"/>
  <c r="G55" i="1"/>
  <c r="E55" i="1"/>
  <c r="D55" i="1"/>
  <c r="C55" i="1"/>
  <c r="G51" i="1"/>
  <c r="H51" i="1" s="1"/>
  <c r="G50" i="1"/>
  <c r="H50" i="1" s="1"/>
  <c r="G49" i="1"/>
  <c r="H49" i="1" s="1"/>
  <c r="C48" i="1"/>
  <c r="E42" i="1"/>
  <c r="C42" i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E35" i="1"/>
  <c r="D35" i="1"/>
  <c r="C35" i="1"/>
  <c r="E34" i="1"/>
  <c r="C34" i="1"/>
  <c r="E33" i="1"/>
  <c r="D33" i="1"/>
  <c r="C33" i="1"/>
  <c r="E14" i="1"/>
  <c r="C14" i="1"/>
  <c r="D121" i="1" l="1"/>
  <c r="H135" i="1"/>
  <c r="F121" i="1"/>
  <c r="C121" i="1" s="1"/>
  <c r="D150" i="1"/>
  <c r="H128" i="1"/>
  <c r="G150" i="1"/>
  <c r="F150" i="1"/>
  <c r="E121" i="1"/>
  <c r="E150" i="1" s="1"/>
  <c r="H150" i="1" l="1"/>
  <c r="E43" i="11"/>
  <c r="D46" i="11"/>
  <c r="E46" i="9"/>
  <c r="E44" i="10"/>
  <c r="E46" i="10"/>
  <c r="E42" i="11"/>
  <c r="H52" i="11"/>
  <c r="E47" i="7"/>
  <c r="E43" i="1"/>
  <c r="E44" i="7"/>
  <c r="E44" i="9"/>
  <c r="D44" i="7"/>
  <c r="G44" i="7"/>
  <c r="H44" i="7"/>
  <c r="E46" i="1"/>
  <c r="D43" i="7"/>
  <c r="D44" i="1"/>
  <c r="D45" i="11"/>
  <c r="D46" i="7"/>
  <c r="D44" i="10"/>
  <c r="G44" i="10"/>
  <c r="H44" i="10"/>
  <c r="E45" i="10"/>
  <c r="E43" i="10"/>
  <c r="H53" i="11"/>
  <c r="D42" i="10"/>
  <c r="H54" i="9"/>
  <c r="H51" i="10"/>
  <c r="E47" i="9"/>
  <c r="E45" i="1"/>
  <c r="H42" i="11"/>
  <c r="G42" i="11"/>
  <c r="D42" i="11"/>
  <c r="H53" i="1"/>
  <c r="E45" i="7"/>
  <c r="H46" i="9"/>
  <c r="G46" i="9"/>
  <c r="D46" i="9"/>
  <c r="E45" i="9"/>
  <c r="D44" i="11"/>
  <c r="H30" i="8"/>
  <c r="D47" i="1"/>
  <c r="H52" i="9"/>
  <c r="D51" i="10"/>
  <c r="G51" i="10"/>
  <c r="H31" i="8"/>
  <c r="D43" i="9"/>
  <c r="H54" i="7"/>
  <c r="H53" i="9"/>
  <c r="D43" i="10"/>
  <c r="G43" i="10"/>
  <c r="H43" i="10"/>
  <c r="H46" i="10"/>
  <c r="G46" i="10"/>
  <c r="D46" i="10"/>
  <c r="E45" i="11"/>
  <c r="H45" i="11"/>
  <c r="G45" i="11"/>
  <c r="H54" i="1"/>
  <c r="D30" i="8"/>
  <c r="G30" i="8"/>
  <c r="H29" i="8"/>
  <c r="G29" i="8"/>
  <c r="D29" i="8"/>
  <c r="E44" i="1"/>
  <c r="H44" i="1"/>
  <c r="G44" i="1"/>
  <c r="D44" i="9"/>
  <c r="G44" i="9"/>
  <c r="H44" i="9"/>
  <c r="D45" i="7"/>
  <c r="G45" i="7"/>
  <c r="H45" i="7"/>
  <c r="D43" i="1"/>
  <c r="G43" i="1"/>
  <c r="H43" i="1"/>
  <c r="G46" i="11"/>
  <c r="H46" i="11"/>
  <c r="E46" i="11"/>
  <c r="E46" i="7"/>
  <c r="H46" i="7"/>
  <c r="G46" i="7"/>
  <c r="D46" i="1"/>
  <c r="G46" i="1"/>
  <c r="H46" i="1"/>
  <c r="H53" i="10"/>
  <c r="G53" i="10"/>
  <c r="D53" i="10"/>
  <c r="H52" i="10"/>
  <c r="G52" i="10"/>
  <c r="D52" i="10"/>
  <c r="E42" i="10"/>
  <c r="H42" i="10"/>
  <c r="G42" i="10"/>
  <c r="D54" i="9"/>
  <c r="G54" i="9"/>
  <c r="D45" i="1"/>
  <c r="G45" i="1"/>
  <c r="H45" i="1"/>
  <c r="H43" i="11"/>
  <c r="G43" i="11"/>
  <c r="D43" i="11"/>
  <c r="H47" i="7"/>
  <c r="G47" i="7"/>
  <c r="D47" i="7"/>
  <c r="H45" i="9"/>
  <c r="G45" i="9"/>
  <c r="D45" i="9"/>
  <c r="G44" i="11"/>
  <c r="H44" i="11"/>
  <c r="E44" i="11"/>
  <c r="G47" i="1"/>
  <c r="H47" i="1"/>
  <c r="E47" i="1"/>
  <c r="H51" i="11"/>
  <c r="G51" i="11"/>
  <c r="D51" i="11"/>
  <c r="E43" i="9"/>
  <c r="H43" i="9"/>
  <c r="G43" i="9"/>
  <c r="D54" i="7"/>
  <c r="G54" i="7"/>
  <c r="H52" i="7"/>
  <c r="G52" i="7"/>
  <c r="D52" i="7"/>
  <c r="D53" i="9"/>
  <c r="G53" i="9"/>
  <c r="D53" i="7"/>
  <c r="G53" i="7"/>
  <c r="H53" i="7"/>
  <c r="H45" i="10"/>
  <c r="G45" i="10"/>
  <c r="D45" i="10"/>
  <c r="E43" i="7"/>
  <c r="H43" i="7"/>
  <c r="G43" i="7"/>
  <c r="D54" i="1"/>
  <c r="G54" i="1"/>
  <c r="D52" i="1"/>
  <c r="G52" i="1"/>
  <c r="H52" i="1"/>
  <c r="D47" i="9"/>
  <c r="G47" i="9"/>
  <c r="H47" i="9"/>
  <c r="D52" i="11"/>
  <c r="G52" i="11"/>
  <c r="D53" i="1"/>
  <c r="G53" i="1"/>
  <c r="D52" i="9"/>
  <c r="G52" i="9"/>
  <c r="D31" i="8"/>
  <c r="G31" i="8"/>
  <c r="D53" i="11"/>
  <c r="G53" i="11"/>
</calcChain>
</file>

<file path=xl/sharedStrings.xml><?xml version="1.0" encoding="utf-8"?>
<sst xmlns="http://schemas.openxmlformats.org/spreadsheetml/2006/main" count="1254" uniqueCount="168">
  <si>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</si>
  <si>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</si>
  <si>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</si>
  <si>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</si>
  <si>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</si>
  <si>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(многоквартирный дом с газовыми плитами и повышающими насосами)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</si>
  <si>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</si>
  <si>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</si>
  <si>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</si>
  <si>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</si>
  <si>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</si>
  <si>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</si>
  <si>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</si>
  <si>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</si>
  <si>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</si>
  <si>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</si>
  <si>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</si>
  <si>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</si>
  <si>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</si>
  <si>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</si>
  <si>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Уборка земельного участка, входящего в состав общего имущества</t>
  </si>
  <si>
    <t>подметание земельного участка в летний период</t>
  </si>
  <si>
    <t>6 раз в неделю</t>
  </si>
  <si>
    <t>уборка мусора с газона</t>
  </si>
  <si>
    <t>окос травы</t>
  </si>
  <si>
    <t>2-3 раза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</si>
  <si>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</si>
  <si>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</si>
  <si>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</si>
  <si>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погрузка мусора на автотранспорт вручную</t>
  </si>
  <si>
    <t>очистка урн отмусора</t>
  </si>
  <si>
    <t>посыпка территории песко - соляной смесью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</si>
  <si>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</si>
  <si>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</si>
  <si>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</si>
  <si>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</si>
  <si>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</si>
  <si>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Уборка мусоропроводов</t>
  </si>
  <si>
    <t>профилактический осмотр мусоропроводов</t>
  </si>
  <si>
    <t>2 раза в месяц</t>
  </si>
  <si>
    <t>удаление мусора из мусороприемных камер</t>
  </si>
  <si>
    <t>ежедневно</t>
  </si>
  <si>
    <t>уборка мусороприемных камер</t>
  </si>
  <si>
    <t>уборка загрузочных клапанов мусоропроводов</t>
  </si>
  <si>
    <t>1 раз в неделю</t>
  </si>
  <si>
    <t>устранение засоров</t>
  </si>
  <si>
    <t>Санобработка мусорокамер (согласно СанПиН 2.1.2.2645 - 10 утвержденного Постановлением Главного госуд.санит.врача от 10.06.2010 г. № 64)</t>
  </si>
  <si>
    <t>Уборка лестничных клеток</t>
  </si>
  <si>
    <t>подметание полов во всех помещениях общего пользования</t>
  </si>
  <si>
    <t>влажная уборка помещений</t>
  </si>
  <si>
    <t>протирка стен, дверей входных, оконных решеток, шкафов для электросчетчиков, почтовых ящиков</t>
  </si>
  <si>
    <t>1 раз в год</t>
  </si>
  <si>
    <t>влажная протирка подоконников, отопительных приборов</t>
  </si>
  <si>
    <t>2 раза в год</t>
  </si>
  <si>
    <t>уборка площадки перед входом в подъезд</t>
  </si>
  <si>
    <t>Обслуживание лифтов</t>
  </si>
  <si>
    <t>ежедневно с 06.00 - 23.00час.</t>
  </si>
  <si>
    <t>Обслуживание общедомовых приборов учета холодного водоснабжения</t>
  </si>
  <si>
    <t>Обслуживание общедомовых приборов учета горячего водоснабжения</t>
  </si>
  <si>
    <t>Обслуживание общедомовых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</si>
  <si>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</si>
  <si>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</si>
  <si>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</si>
  <si>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Обслуживание вводных и внутренних газопроводов жилого фонда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</si>
  <si>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</si>
  <si>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</si>
  <si>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</si>
  <si>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</si>
  <si>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</si>
  <si>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1 раз в 4 месяца</t>
  </si>
  <si>
    <t>Регламентные работы по системе отопления в т.числе:</t>
  </si>
  <si>
    <t>отключение системы отопления</t>
  </si>
  <si>
    <t>гидравлическое испытание входной запорной арматуры</t>
  </si>
  <si>
    <t>ревизия элеваторного узла ( сопло )</t>
  </si>
  <si>
    <t>промывка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</si>
  <si>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</si>
  <si>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</si>
  <si>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</si>
  <si>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подключение системы отопления с регулировкой</t>
  </si>
  <si>
    <t>Регламентные работы по системе горячего водоснабжения в т.числе:</t>
  </si>
  <si>
    <t>проверка бойлера на предмет накипиобразования латунных трубок ( со снятием калачей )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</si>
  <si>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</si>
  <si>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</si>
  <si>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установка модуля проверки лежаков системы ГВС на закипание</t>
  </si>
  <si>
    <t>1 раз</t>
  </si>
  <si>
    <t>проверка лежаков ГВС на закипание</t>
  </si>
  <si>
    <t>установка шарового крана на выходе с ВВП горячей воды для взятия проб,сдачи анализа ГВС ф 15</t>
  </si>
  <si>
    <t>замена насоса ГВС / резерв /</t>
  </si>
  <si>
    <t>проверка работы регулятора температуры на бойлере</t>
  </si>
  <si>
    <t>замена ( поверка ) КИП</t>
  </si>
  <si>
    <t>Регламентные работы по системе холодного водоснабжения в т.числе:</t>
  </si>
  <si>
    <t>замена насоса ХВС / резерв /</t>
  </si>
  <si>
    <t>Регламентные работы по системе электроснабжени в т.числе:</t>
  </si>
  <si>
    <t>перевод реле времени</t>
  </si>
  <si>
    <t>ревизия ШР, ЩЭ</t>
  </si>
  <si>
    <t>ревизия ВРУ</t>
  </si>
  <si>
    <t>замена трансформатора тока</t>
  </si>
  <si>
    <t>восстановление подъездного освещения</t>
  </si>
  <si>
    <t>восстановление подвального освещения</t>
  </si>
  <si>
    <t>восстановление чердачного освещения</t>
  </si>
  <si>
    <t>восстановление общедомового уличного освещения</t>
  </si>
  <si>
    <t>электроизмерения (замеры сопротивления изоляции)</t>
  </si>
  <si>
    <t>1 раз в 4 года</t>
  </si>
  <si>
    <t>Регламентные работы по системе водоотведения в т.числе: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</si>
  <si>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</si>
  <si>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</si>
  <si>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вентиляции в т.числе:</t>
  </si>
  <si>
    <t>проверка вентиляционных каналов и канализационных вытяжек</t>
  </si>
  <si>
    <t>Регламентные работы по содержанию кровли в т.числе:</t>
  </si>
  <si>
    <t>3 раза в год</t>
  </si>
  <si>
    <t>очистка от снега и наледи подъездных козырьков</t>
  </si>
  <si>
    <t>восстановление водостоков ( мелкий ремонт после очистки от снега и льда )</t>
  </si>
  <si>
    <t>Страхование общедомового имущества</t>
  </si>
  <si>
    <t>Работы по текущему ремонту, в т.ч.:</t>
  </si>
  <si>
    <t>ремонт кровли</t>
  </si>
  <si>
    <t>смена запорной арматуры (отопление чердак)</t>
  </si>
  <si>
    <t>смена запорной арматуры (водоснабжение)</t>
  </si>
  <si>
    <t>смена запорной арматуры (элеваторный узел)</t>
  </si>
  <si>
    <t xml:space="preserve">смена трубопровода </t>
  </si>
  <si>
    <t>укрепление элеваторного узла</t>
  </si>
  <si>
    <t>смена и ремонт секций бойлера</t>
  </si>
  <si>
    <t>Погашение задолженности прошлых периодов</t>
  </si>
  <si>
    <t>по состоянию на 1.05.2012г.</t>
  </si>
  <si>
    <t>Сбор, вывоз и утилизация ТБО, руб/м2</t>
  </si>
  <si>
    <t>ИТОГО:</t>
  </si>
  <si>
    <t>Сбор, вывоз и утилизация ТБО*</t>
  </si>
  <si>
    <t>руб./чел.</t>
  </si>
  <si>
    <t>Предлагаемый перечень работ по текущему ремонту                                       ( на выбор собственников)</t>
  </si>
  <si>
    <t>ремонт освещения в подвале</t>
  </si>
  <si>
    <t>ВСЕГО: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</si>
  <si>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</si>
  <si>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</si>
  <si>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гидравлическое испытание элеваторного узла и запорной арматуры</t>
  </si>
  <si>
    <t>опрессовка системы отопления</t>
  </si>
  <si>
    <t>пылеудаление и дезинфекция вентканалов без пробивки</t>
  </si>
  <si>
    <t>1 раз в 3 года</t>
  </si>
  <si>
    <t xml:space="preserve">Проект </t>
  </si>
  <si>
    <t>заполнение электронных паспортов</t>
  </si>
  <si>
    <t>учет работ по капремонту</t>
  </si>
  <si>
    <t>Итого:</t>
  </si>
  <si>
    <t>Управление многоквартирным домом всего, в т.ч:</t>
  </si>
  <si>
    <t xml:space="preserve">1 раз в год </t>
  </si>
  <si>
    <t>очистка водоприемных воронок</t>
  </si>
  <si>
    <t>по адресу: ул. Зеленова, д.1/28 (Sобщ.= 481,1 м2)</t>
  </si>
  <si>
    <t>ЗАО "Корпорация"</t>
  </si>
  <si>
    <t>ремонт кровли машинного отделения в 2 слоя 38 м2, устройство примыканий с обделкой металлом 5 п.м.</t>
  </si>
  <si>
    <t>отделка балконных фасадов сайдингом-105,6 м2</t>
  </si>
  <si>
    <t>смена трубопроводов отопления ( чердак)</t>
  </si>
  <si>
    <t>смена запорной арматуры отопления - чердак диам.15 мм - 15 шт., диам.20 мм - 15 шт., диам.25 мм - 15 шт.</t>
  </si>
  <si>
    <t>установка шаровой задвижки ( на эл. Узел диам 80 мм - 1 шт.</t>
  </si>
  <si>
    <t>установка фильтра на элеваторный узел диам.80 мм - 2 шт.</t>
  </si>
  <si>
    <t>установка обратного клапана диам.50 мм ( ввод ХВС)</t>
  </si>
  <si>
    <t>установка фильтра на ХВС диам.50мм - 1 шт.</t>
  </si>
  <si>
    <r>
      <t xml:space="preserve">окраска труб отопления составом </t>
    </r>
    <r>
      <rPr>
        <b/>
        <sz val="10"/>
        <rFont val="Arial Cyr"/>
        <charset val="204"/>
      </rPr>
      <t>"</t>
    </r>
    <r>
      <rPr>
        <sz val="10"/>
        <rFont val="Arial Cyr"/>
        <charset val="204"/>
      </rPr>
      <t>Корунд" диам 32 мм - 10 м, диам 57 мм - 15м,диам.76 мм - 10 м, диам.89 мм - 20 м</t>
    </r>
  </si>
  <si>
    <t>установка шарового крана на ГВС диам.15 мм - 1 шт.</t>
  </si>
  <si>
    <t>выполнение работ экологом</t>
  </si>
  <si>
    <t>по адресу: ул. Зеленова, д.1/28 (Sобщ.=2564,3м2, Sзем.уч.= 315 м2)</t>
  </si>
  <si>
    <t>очистка от накипиобразования пластинчатого бойлера</t>
  </si>
  <si>
    <t>Работы заявочного характера, в т.ч работы по предписанию надзорных органов</t>
  </si>
  <si>
    <t>по состоянию на 1.05.2015г.</t>
  </si>
  <si>
    <t>2015 - 2016 г.</t>
  </si>
  <si>
    <t>2015 -2016 г.</t>
  </si>
  <si>
    <t>(стоимость услуг увеличена на 10,5 % в соответствии с уровнем инфляции 2014 г.)</t>
  </si>
  <si>
    <t>ремонт мягкой кровли в 2 слоя 422,2 м2, устройство примыканий 113,2 п.м, устройство и смена обделки парапета 95 п.м</t>
  </si>
  <si>
    <t>ремонт уплотнителя</t>
  </si>
  <si>
    <t>ремонт системы вентиляции</t>
  </si>
  <si>
    <t>установка светильников с датчиками движения на этажные площадки 9 шт.</t>
  </si>
  <si>
    <t>по адресу: ул. Зеленова, д.1/28 (S жилые + нежилые = 3044,9 м2, Sзем.уч.= 315 м2)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</si>
</sst>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sz val="12"/>
      <name val="Arial Cyr"/>
      <charset val="204"/>
    </font>
    <font>
      <sz val="11"/>
      <name val="Arial Black"/>
      <family val="2"/>
      <charset val="204"/>
    </font>
    <font>
      <sz val="11"/>
      <name val="Arial Black"/>
      <family val="2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9"/>
      <name val="Arial Black"/>
      <family val="2"/>
      <charset val="204"/>
    </font>
    <font>
      <sz val="10"/>
      <color indexed="10"/>
      <name val="Arial Cyr"/>
      <charset val="204"/>
    </font>
    <font>
      <sz val="10"/>
      <color indexed="10"/>
      <name val="Arial Black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2" borderId="0" xfId="0" applyFill="1"/>
    <xf numFmtId="2" fontId="0" fillId="2" borderId="0" xfId="0" applyNumberFormat="1" applyFill="1"/>
    <xf numFmtId="0" fontId="3" fillId="3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3" fillId="2" borderId="0" xfId="0" applyFont="1" applyFill="1"/>
    <xf numFmtId="2" fontId="3" fillId="2" borderId="0" xfId="0" applyNumberFormat="1" applyFont="1" applyFill="1"/>
    <xf numFmtId="2" fontId="0" fillId="2" borderId="0" xfId="0" applyNumberFormat="1" applyFill="1" applyAlignment="1">
      <alignment horizontal="center" vertical="center" wrapText="1"/>
    </xf>
    <xf numFmtId="2" fontId="7" fillId="2" borderId="0" xfId="0" applyNumberFormat="1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2" fontId="8" fillId="2" borderId="0" xfId="0" applyNumberFormat="1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center"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3" borderId="16" xfId="0" applyNumberFormat="1" applyFont="1" applyFill="1" applyBorder="1" applyAlignment="1">
      <alignment horizontal="center" vertical="center" wrapText="1"/>
    </xf>
    <xf numFmtId="2" fontId="8" fillId="3" borderId="18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vertical="center" wrapText="1"/>
    </xf>
    <xf numFmtId="2" fontId="9" fillId="2" borderId="16" xfId="0" applyNumberFormat="1" applyFont="1" applyFill="1" applyBorder="1" applyAlignment="1">
      <alignment horizontal="center" vertical="center" wrapText="1"/>
    </xf>
    <xf numFmtId="2" fontId="9" fillId="2" borderId="17" xfId="0" applyNumberFormat="1" applyFont="1" applyFill="1" applyBorder="1" applyAlignment="1">
      <alignment horizontal="center" vertical="center" wrapText="1"/>
    </xf>
    <xf numFmtId="2" fontId="9" fillId="2" borderId="18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vertical="center" wrapText="1"/>
    </xf>
    <xf numFmtId="2" fontId="8" fillId="2" borderId="18" xfId="0" applyNumberFormat="1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2" fontId="8" fillId="2" borderId="24" xfId="0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2" fontId="8" fillId="2" borderId="15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2" fontId="8" fillId="2" borderId="21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" fillId="2" borderId="24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2" fontId="1" fillId="2" borderId="16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2" fontId="0" fillId="3" borderId="26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left" vertical="center" wrapText="1"/>
    </xf>
    <xf numFmtId="0" fontId="12" fillId="2" borderId="15" xfId="0" applyFont="1" applyFill="1" applyBorder="1" applyAlignment="1">
      <alignment horizontal="center" vertical="center" wrapText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26" xfId="0" applyNumberFormat="1" applyFont="1" applyFill="1" applyBorder="1" applyAlignment="1">
      <alignment horizontal="center" vertical="center" wrapText="1"/>
    </xf>
    <xf numFmtId="2" fontId="12" fillId="2" borderId="24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2" fontId="8" fillId="2" borderId="2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14" fillId="2" borderId="15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center" vertical="center" wrapText="1"/>
    </xf>
    <xf numFmtId="2" fontId="9" fillId="2" borderId="15" xfId="0" applyNumberFormat="1" applyFont="1" applyFill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center" vertical="center" wrapText="1"/>
    </xf>
    <xf numFmtId="2" fontId="9" fillId="2" borderId="2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2" fontId="9" fillId="2" borderId="2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28" xfId="0" applyNumberFormat="1" applyFont="1" applyFill="1" applyBorder="1" applyAlignment="1">
      <alignment horizontal="center"/>
    </xf>
    <xf numFmtId="0" fontId="4" fillId="2" borderId="29" xfId="0" applyFont="1" applyFill="1" applyBorder="1" applyAlignment="1">
      <alignment horizontal="left" vertical="center" wrapText="1"/>
    </xf>
    <xf numFmtId="0" fontId="2" fillId="2" borderId="28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2" fontId="4" fillId="2" borderId="0" xfId="0" applyNumberFormat="1" applyFont="1" applyFill="1" applyBorder="1" applyAlignment="1">
      <alignment horizontal="center"/>
    </xf>
    <xf numFmtId="0" fontId="4" fillId="2" borderId="0" xfId="0" applyFont="1" applyFill="1"/>
    <xf numFmtId="2" fontId="4" fillId="2" borderId="0" xfId="0" applyNumberFormat="1" applyFont="1" applyFill="1"/>
    <xf numFmtId="0" fontId="7" fillId="2" borderId="15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center" vertical="center"/>
    </xf>
    <xf numFmtId="2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2" fontId="0" fillId="2" borderId="26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0" fillId="2" borderId="24" xfId="0" applyNumberFormat="1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3" borderId="15" xfId="0" applyFont="1" applyFill="1" applyBorder="1" applyAlignment="1">
      <alignment horizontal="center" vertical="center" wrapText="1"/>
    </xf>
    <xf numFmtId="2" fontId="8" fillId="2" borderId="32" xfId="0" applyNumberFormat="1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2" fontId="8" fillId="2" borderId="27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 wrapText="1"/>
    </xf>
    <xf numFmtId="2" fontId="18" fillId="3" borderId="26" xfId="0" applyNumberFormat="1" applyFont="1" applyFill="1" applyBorder="1" applyAlignment="1">
      <alignment horizontal="center" vertical="center" wrapText="1"/>
    </xf>
    <xf numFmtId="2" fontId="18" fillId="3" borderId="15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2" fontId="1" fillId="2" borderId="27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wrapText="1"/>
    </xf>
    <xf numFmtId="0" fontId="0" fillId="2" borderId="0" xfId="0" applyFill="1" applyAlignment="1"/>
    <xf numFmtId="2" fontId="6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2" fontId="4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5"/>
  <sheetViews>
    <sheetView topLeftCell="A70" zoomScale="75" workbookViewId="0">
      <selection activeCell="A128" sqref="A12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140625" style="1" customWidth="1"/>
    <col min="5" max="5" width="13.85546875" style="1" hidden="1" customWidth="1"/>
    <col min="6" max="6" width="20.85546875" style="1" hidden="1" customWidth="1"/>
    <col min="7" max="7" width="15.71093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3" t="s">
        <v>0</v>
      </c>
      <c r="B1" s="144"/>
      <c r="C1" s="144"/>
      <c r="D1" s="144"/>
      <c r="E1" s="144"/>
      <c r="F1" s="144"/>
      <c r="G1" s="144"/>
      <c r="H1" s="144"/>
    </row>
    <row r="2" spans="1:11" ht="12.75" customHeight="1" x14ac:dyDescent="0.3">
      <c r="B2" s="145" t="s">
        <v>1</v>
      </c>
      <c r="C2" s="145"/>
      <c r="D2" s="145"/>
      <c r="E2" s="145"/>
      <c r="F2" s="145"/>
      <c r="G2" s="144"/>
      <c r="H2" s="144"/>
    </row>
    <row r="3" spans="1:11" ht="21" customHeight="1" x14ac:dyDescent="0.3">
      <c r="A3" s="3" t="s">
        <v>160</v>
      </c>
      <c r="B3" s="145" t="s">
        <v>2</v>
      </c>
      <c r="C3" s="145"/>
      <c r="D3" s="145"/>
      <c r="E3" s="145"/>
      <c r="F3" s="145"/>
      <c r="G3" s="144"/>
      <c r="H3" s="144"/>
    </row>
    <row r="4" spans="1:11" ht="21" customHeight="1" x14ac:dyDescent="0.3">
      <c r="A4" s="3"/>
      <c r="B4" s="4"/>
      <c r="C4" s="4"/>
      <c r="D4" s="4"/>
      <c r="E4" s="4"/>
      <c r="F4" s="4"/>
      <c r="G4" s="5"/>
      <c r="H4" s="5"/>
    </row>
    <row r="5" spans="1:11" ht="14.25" customHeight="1" x14ac:dyDescent="0.3">
      <c r="B5" s="145" t="s">
        <v>3</v>
      </c>
      <c r="C5" s="145"/>
      <c r="D5" s="145"/>
      <c r="E5" s="145"/>
      <c r="F5" s="145"/>
      <c r="G5" s="144"/>
      <c r="H5" s="144"/>
    </row>
    <row r="6" spans="1:11" ht="18" customHeight="1" x14ac:dyDescent="0.4">
      <c r="A6" s="146" t="s">
        <v>136</v>
      </c>
      <c r="B6" s="146"/>
      <c r="C6" s="146"/>
      <c r="D6" s="146"/>
      <c r="E6" s="146"/>
      <c r="F6" s="146"/>
      <c r="G6" s="146"/>
      <c r="H6" s="146"/>
    </row>
    <row r="7" spans="1:11" s="6" customFormat="1" ht="22.5" customHeight="1" x14ac:dyDescent="0.4">
      <c r="A7" s="132" t="s">
        <v>4</v>
      </c>
      <c r="B7" s="132"/>
      <c r="C7" s="132"/>
      <c r="D7" s="132"/>
      <c r="E7" s="133"/>
      <c r="F7" s="133"/>
      <c r="G7" s="133"/>
      <c r="H7" s="133"/>
      <c r="K7" s="7"/>
    </row>
    <row r="8" spans="1:11" s="8" customFormat="1" ht="18.75" customHeight="1" x14ac:dyDescent="0.4">
      <c r="A8" s="132" t="s">
        <v>156</v>
      </c>
      <c r="B8" s="132"/>
      <c r="C8" s="132"/>
      <c r="D8" s="132"/>
      <c r="E8" s="133"/>
      <c r="F8" s="133"/>
      <c r="G8" s="133"/>
      <c r="H8" s="133"/>
    </row>
    <row r="9" spans="1:11" s="9" customFormat="1" ht="17.25" customHeight="1" x14ac:dyDescent="0.2">
      <c r="A9" s="134" t="s">
        <v>5</v>
      </c>
      <c r="B9" s="134"/>
      <c r="C9" s="134"/>
      <c r="D9" s="134"/>
      <c r="E9" s="135"/>
      <c r="F9" s="135"/>
      <c r="G9" s="135"/>
      <c r="H9" s="135"/>
    </row>
    <row r="10" spans="1:11" s="8" customFormat="1" ht="30" customHeight="1" thickBot="1" x14ac:dyDescent="0.25">
      <c r="A10" s="136" t="s">
        <v>6</v>
      </c>
      <c r="B10" s="136"/>
      <c r="C10" s="136"/>
      <c r="D10" s="136"/>
      <c r="E10" s="137"/>
      <c r="F10" s="137"/>
      <c r="G10" s="137"/>
      <c r="H10" s="137"/>
    </row>
    <row r="11" spans="1:11" s="14" customFormat="1" ht="139.5" customHeight="1" thickBot="1" x14ac:dyDescent="0.25">
      <c r="A11" s="10" t="s">
        <v>7</v>
      </c>
      <c r="B11" s="11" t="s">
        <v>8</v>
      </c>
      <c r="C11" s="12" t="s">
        <v>9</v>
      </c>
      <c r="D11" s="12" t="s">
        <v>10</v>
      </c>
      <c r="E11" s="12" t="s">
        <v>9</v>
      </c>
      <c r="F11" s="13" t="s">
        <v>11</v>
      </c>
      <c r="G11" s="12" t="s">
        <v>9</v>
      </c>
      <c r="H11" s="13" t="s">
        <v>11</v>
      </c>
      <c r="K11" s="15"/>
    </row>
    <row r="12" spans="1:11" s="22" customFormat="1" x14ac:dyDescent="0.2">
      <c r="A12" s="16">
        <v>1</v>
      </c>
      <c r="B12" s="17">
        <v>2</v>
      </c>
      <c r="C12" s="17">
        <v>3</v>
      </c>
      <c r="D12" s="18"/>
      <c r="E12" s="17">
        <v>3</v>
      </c>
      <c r="F12" s="19">
        <v>4</v>
      </c>
      <c r="G12" s="20">
        <v>3</v>
      </c>
      <c r="H12" s="21">
        <v>4</v>
      </c>
      <c r="K12" s="23"/>
    </row>
    <row r="13" spans="1:11" s="22" customFormat="1" ht="49.5" customHeight="1" x14ac:dyDescent="0.2">
      <c r="A13" s="138" t="s">
        <v>12</v>
      </c>
      <c r="B13" s="139"/>
      <c r="C13" s="139"/>
      <c r="D13" s="139"/>
      <c r="E13" s="139"/>
      <c r="F13" s="139"/>
      <c r="G13" s="140"/>
      <c r="H13" s="141"/>
      <c r="K13" s="23"/>
    </row>
    <row r="14" spans="1:11" s="14" customFormat="1" ht="15" x14ac:dyDescent="0.2">
      <c r="A14" s="24" t="s">
        <v>140</v>
      </c>
      <c r="B14" s="25" t="s">
        <v>13</v>
      </c>
      <c r="C14" s="26">
        <f>F14*12</f>
        <v>0</v>
      </c>
      <c r="D14" s="27">
        <f>G14*I14</f>
        <v>116212.46</v>
      </c>
      <c r="E14" s="28">
        <f>H14*12</f>
        <v>38.159999999999997</v>
      </c>
      <c r="F14" s="29"/>
      <c r="G14" s="28">
        <f>H14*12</f>
        <v>38.159999999999997</v>
      </c>
      <c r="H14" s="28">
        <f>H19+H23</f>
        <v>3.18</v>
      </c>
      <c r="I14" s="14">
        <v>3045.4</v>
      </c>
      <c r="J14" s="14">
        <v>1.07</v>
      </c>
      <c r="K14" s="15">
        <v>2.2400000000000002</v>
      </c>
    </row>
    <row r="15" spans="1:11" s="14" customFormat="1" ht="29.25" customHeight="1" x14ac:dyDescent="0.2">
      <c r="A15" s="30" t="s">
        <v>14</v>
      </c>
      <c r="B15" s="31" t="s">
        <v>15</v>
      </c>
      <c r="C15" s="32"/>
      <c r="D15" s="33"/>
      <c r="E15" s="32"/>
      <c r="F15" s="34"/>
      <c r="G15" s="32"/>
      <c r="H15" s="32"/>
      <c r="K15" s="15"/>
    </row>
    <row r="16" spans="1:11" s="14" customFormat="1" ht="15" x14ac:dyDescent="0.2">
      <c r="A16" s="30" t="s">
        <v>16</v>
      </c>
      <c r="B16" s="31" t="s">
        <v>15</v>
      </c>
      <c r="C16" s="32"/>
      <c r="D16" s="33"/>
      <c r="E16" s="32"/>
      <c r="F16" s="34"/>
      <c r="G16" s="32"/>
      <c r="H16" s="32"/>
      <c r="K16" s="15"/>
    </row>
    <row r="17" spans="1:11" s="14" customFormat="1" ht="15" x14ac:dyDescent="0.2">
      <c r="A17" s="30" t="s">
        <v>17</v>
      </c>
      <c r="B17" s="31" t="s">
        <v>18</v>
      </c>
      <c r="C17" s="32"/>
      <c r="D17" s="33"/>
      <c r="E17" s="32"/>
      <c r="F17" s="34"/>
      <c r="G17" s="32"/>
      <c r="H17" s="32"/>
      <c r="K17" s="15"/>
    </row>
    <row r="18" spans="1:11" s="14" customFormat="1" ht="15" x14ac:dyDescent="0.2">
      <c r="A18" s="30" t="s">
        <v>19</v>
      </c>
      <c r="B18" s="31" t="s">
        <v>15</v>
      </c>
      <c r="C18" s="32"/>
      <c r="D18" s="33"/>
      <c r="E18" s="32"/>
      <c r="F18" s="34"/>
      <c r="G18" s="32"/>
      <c r="H18" s="32"/>
      <c r="K18" s="15"/>
    </row>
    <row r="19" spans="1:11" s="14" customFormat="1" ht="15" x14ac:dyDescent="0.2">
      <c r="A19" s="24" t="s">
        <v>139</v>
      </c>
      <c r="B19" s="31"/>
      <c r="C19" s="32"/>
      <c r="D19" s="33"/>
      <c r="E19" s="32"/>
      <c r="F19" s="34"/>
      <c r="G19" s="32"/>
      <c r="H19" s="26">
        <v>2.83</v>
      </c>
      <c r="K19" s="15"/>
    </row>
    <row r="20" spans="1:11" s="14" customFormat="1" ht="15" x14ac:dyDescent="0.2">
      <c r="A20" s="30" t="s">
        <v>137</v>
      </c>
      <c r="B20" s="31" t="s">
        <v>15</v>
      </c>
      <c r="C20" s="32"/>
      <c r="D20" s="33"/>
      <c r="E20" s="32"/>
      <c r="F20" s="34"/>
      <c r="G20" s="32"/>
      <c r="H20" s="32">
        <v>0.12</v>
      </c>
      <c r="K20" s="15"/>
    </row>
    <row r="21" spans="1:11" s="14" customFormat="1" ht="15" x14ac:dyDescent="0.2">
      <c r="A21" s="30" t="s">
        <v>138</v>
      </c>
      <c r="B21" s="31" t="s">
        <v>15</v>
      </c>
      <c r="C21" s="32"/>
      <c r="D21" s="33"/>
      <c r="E21" s="32"/>
      <c r="F21" s="34"/>
      <c r="G21" s="32"/>
      <c r="H21" s="32">
        <v>0.11</v>
      </c>
      <c r="K21" s="15"/>
    </row>
    <row r="22" spans="1:11" s="14" customFormat="1" ht="15" x14ac:dyDescent="0.2">
      <c r="A22" s="30" t="s">
        <v>155</v>
      </c>
      <c r="B22" s="31" t="s">
        <v>15</v>
      </c>
      <c r="C22" s="32"/>
      <c r="D22" s="33"/>
      <c r="E22" s="32"/>
      <c r="F22" s="34"/>
      <c r="G22" s="32"/>
      <c r="H22" s="32">
        <v>0.12</v>
      </c>
      <c r="K22" s="15"/>
    </row>
    <row r="23" spans="1:11" s="14" customFormat="1" ht="15" x14ac:dyDescent="0.2">
      <c r="A23" s="24" t="s">
        <v>139</v>
      </c>
      <c r="B23" s="31"/>
      <c r="C23" s="32"/>
      <c r="D23" s="33"/>
      <c r="E23" s="32"/>
      <c r="F23" s="34"/>
      <c r="G23" s="32"/>
      <c r="H23" s="26">
        <f>H20+H21+H22</f>
        <v>0.35</v>
      </c>
      <c r="K23" s="15"/>
    </row>
    <row r="24" spans="1:11" s="14" customFormat="1" ht="30" x14ac:dyDescent="0.2">
      <c r="A24" s="24" t="s">
        <v>20</v>
      </c>
      <c r="B24" s="35"/>
      <c r="C24" s="26">
        <f>F24*12</f>
        <v>0</v>
      </c>
      <c r="D24" s="27">
        <v>13768.65</v>
      </c>
      <c r="E24" s="28">
        <f>H24*12</f>
        <v>5.4</v>
      </c>
      <c r="F24" s="29"/>
      <c r="G24" s="28">
        <f>D24/I24</f>
        <v>5.37</v>
      </c>
      <c r="H24" s="28">
        <f>G24/12</f>
        <v>0.45</v>
      </c>
      <c r="I24" s="14">
        <v>2564.3000000000002</v>
      </c>
      <c r="J24" s="14">
        <v>1.07</v>
      </c>
      <c r="K24" s="15">
        <v>1.27</v>
      </c>
    </row>
    <row r="25" spans="1:11" s="14" customFormat="1" ht="15" x14ac:dyDescent="0.2">
      <c r="A25" s="36" t="s">
        <v>21</v>
      </c>
      <c r="B25" s="37" t="s">
        <v>22</v>
      </c>
      <c r="C25" s="26"/>
      <c r="D25" s="38"/>
      <c r="E25" s="26"/>
      <c r="F25" s="39"/>
      <c r="G25" s="26"/>
      <c r="H25" s="26"/>
      <c r="K25" s="15"/>
    </row>
    <row r="26" spans="1:11" s="14" customFormat="1" ht="15" x14ac:dyDescent="0.2">
      <c r="A26" s="36" t="s">
        <v>23</v>
      </c>
      <c r="B26" s="37" t="s">
        <v>22</v>
      </c>
      <c r="C26" s="26"/>
      <c r="D26" s="38"/>
      <c r="E26" s="26"/>
      <c r="F26" s="39"/>
      <c r="G26" s="26"/>
      <c r="H26" s="26"/>
      <c r="K26" s="15"/>
    </row>
    <row r="27" spans="1:11" s="14" customFormat="1" ht="15" x14ac:dyDescent="0.2">
      <c r="A27" s="40" t="s">
        <v>24</v>
      </c>
      <c r="B27" s="41" t="s">
        <v>25</v>
      </c>
      <c r="C27" s="26"/>
      <c r="D27" s="38"/>
      <c r="E27" s="26"/>
      <c r="F27" s="39"/>
      <c r="G27" s="26"/>
      <c r="H27" s="26"/>
      <c r="K27" s="15"/>
    </row>
    <row r="28" spans="1:11" s="14" customFormat="1" ht="15" x14ac:dyDescent="0.2">
      <c r="A28" s="36" t="s">
        <v>26</v>
      </c>
      <c r="B28" s="37" t="s">
        <v>22</v>
      </c>
      <c r="C28" s="26"/>
      <c r="D28" s="38"/>
      <c r="E28" s="26"/>
      <c r="F28" s="39"/>
      <c r="G28" s="26"/>
      <c r="H28" s="26"/>
      <c r="K28" s="15"/>
    </row>
    <row r="29" spans="1:11" s="14" customFormat="1" ht="25.5" x14ac:dyDescent="0.2">
      <c r="A29" s="36" t="s">
        <v>27</v>
      </c>
      <c r="B29" s="37" t="s">
        <v>28</v>
      </c>
      <c r="C29" s="26"/>
      <c r="D29" s="38"/>
      <c r="E29" s="26"/>
      <c r="F29" s="39"/>
      <c r="G29" s="26"/>
      <c r="H29" s="26"/>
      <c r="K29" s="15"/>
    </row>
    <row r="30" spans="1:11" s="14" customFormat="1" ht="15" x14ac:dyDescent="0.2">
      <c r="A30" s="36" t="s">
        <v>29</v>
      </c>
      <c r="B30" s="37" t="s">
        <v>22</v>
      </c>
      <c r="C30" s="26"/>
      <c r="D30" s="38"/>
      <c r="E30" s="26"/>
      <c r="F30" s="39"/>
      <c r="G30" s="26"/>
      <c r="H30" s="26"/>
      <c r="K30" s="15"/>
    </row>
    <row r="31" spans="1:11" s="14" customFormat="1" ht="15" x14ac:dyDescent="0.2">
      <c r="A31" s="42" t="s">
        <v>30</v>
      </c>
      <c r="B31" s="43" t="s">
        <v>22</v>
      </c>
      <c r="C31" s="26"/>
      <c r="D31" s="38"/>
      <c r="E31" s="26"/>
      <c r="F31" s="39"/>
      <c r="G31" s="26"/>
      <c r="H31" s="26"/>
      <c r="K31" s="15"/>
    </row>
    <row r="32" spans="1:11" s="14" customFormat="1" ht="26.25" thickBot="1" x14ac:dyDescent="0.25">
      <c r="A32" s="44" t="s">
        <v>31</v>
      </c>
      <c r="B32" s="45" t="s">
        <v>32</v>
      </c>
      <c r="C32" s="26"/>
      <c r="D32" s="38"/>
      <c r="E32" s="26"/>
      <c r="F32" s="39"/>
      <c r="G32" s="26"/>
      <c r="H32" s="26"/>
      <c r="K32" s="15"/>
    </row>
    <row r="33" spans="1:11" s="47" customFormat="1" ht="21" customHeight="1" x14ac:dyDescent="0.2">
      <c r="A33" s="46" t="s">
        <v>33</v>
      </c>
      <c r="B33" s="25" t="s">
        <v>34</v>
      </c>
      <c r="C33" s="26">
        <f>F33*12</f>
        <v>0</v>
      </c>
      <c r="D33" s="38">
        <f>G33*I33</f>
        <v>27408.6</v>
      </c>
      <c r="E33" s="26">
        <f>H33*12</f>
        <v>9</v>
      </c>
      <c r="F33" s="48"/>
      <c r="G33" s="26">
        <f>H33*12</f>
        <v>9</v>
      </c>
      <c r="H33" s="28">
        <v>0.75</v>
      </c>
      <c r="I33" s="14">
        <v>3045.4</v>
      </c>
      <c r="J33" s="14">
        <v>1.07</v>
      </c>
      <c r="K33" s="15">
        <v>0.6</v>
      </c>
    </row>
    <row r="34" spans="1:11" s="14" customFormat="1" ht="15" x14ac:dyDescent="0.2">
      <c r="A34" s="46" t="s">
        <v>35</v>
      </c>
      <c r="B34" s="25" t="s">
        <v>36</v>
      </c>
      <c r="C34" s="26">
        <f>F34*12</f>
        <v>0</v>
      </c>
      <c r="D34" s="38">
        <f>G34*I34</f>
        <v>89534.76</v>
      </c>
      <c r="E34" s="26">
        <f>H34*12</f>
        <v>29.4</v>
      </c>
      <c r="F34" s="48"/>
      <c r="G34" s="26">
        <f>H34*12</f>
        <v>29.4</v>
      </c>
      <c r="H34" s="28">
        <v>2.4500000000000002</v>
      </c>
      <c r="I34" s="14">
        <v>3045.4</v>
      </c>
      <c r="J34" s="14">
        <v>1.07</v>
      </c>
      <c r="K34" s="15">
        <v>1.94</v>
      </c>
    </row>
    <row r="35" spans="1:11" s="14" customFormat="1" ht="15" x14ac:dyDescent="0.2">
      <c r="A35" s="46" t="s">
        <v>37</v>
      </c>
      <c r="B35" s="25" t="s">
        <v>22</v>
      </c>
      <c r="C35" s="26">
        <f>F35*12</f>
        <v>0</v>
      </c>
      <c r="D35" s="38">
        <f>G35*I35</f>
        <v>47080.55</v>
      </c>
      <c r="E35" s="26">
        <f>H35*12</f>
        <v>18.36</v>
      </c>
      <c r="F35" s="48"/>
      <c r="G35" s="26">
        <f>H35*12</f>
        <v>18.36</v>
      </c>
      <c r="H35" s="28">
        <v>1.53</v>
      </c>
      <c r="I35" s="14">
        <v>2564.3000000000002</v>
      </c>
      <c r="J35" s="14">
        <v>1.07</v>
      </c>
      <c r="K35" s="15">
        <v>1.21</v>
      </c>
    </row>
    <row r="36" spans="1:11" s="14" customFormat="1" ht="15" hidden="1" x14ac:dyDescent="0.2">
      <c r="A36" s="36" t="s">
        <v>38</v>
      </c>
      <c r="B36" s="37" t="s">
        <v>39</v>
      </c>
      <c r="C36" s="26"/>
      <c r="D36" s="38"/>
      <c r="E36" s="26"/>
      <c r="F36" s="48"/>
      <c r="G36" s="26">
        <f t="shared" ref="G36:G40" si="0">D36/I36</f>
        <v>0</v>
      </c>
      <c r="H36" s="26">
        <f t="shared" ref="H36:H54" si="1">G36/12</f>
        <v>0</v>
      </c>
      <c r="I36" s="14">
        <v>2564.3000000000002</v>
      </c>
      <c r="J36" s="14">
        <v>1.07</v>
      </c>
      <c r="K36" s="15">
        <v>0</v>
      </c>
    </row>
    <row r="37" spans="1:11" s="14" customFormat="1" ht="15" hidden="1" x14ac:dyDescent="0.2">
      <c r="A37" s="36" t="s">
        <v>40</v>
      </c>
      <c r="B37" s="37" t="s">
        <v>41</v>
      </c>
      <c r="C37" s="26"/>
      <c r="D37" s="38"/>
      <c r="E37" s="26"/>
      <c r="F37" s="48"/>
      <c r="G37" s="26">
        <f t="shared" si="0"/>
        <v>0</v>
      </c>
      <c r="H37" s="26">
        <f t="shared" si="1"/>
        <v>0</v>
      </c>
      <c r="I37" s="14">
        <v>2564.3000000000002</v>
      </c>
      <c r="J37" s="14">
        <v>1.07</v>
      </c>
      <c r="K37" s="15">
        <v>0</v>
      </c>
    </row>
    <row r="38" spans="1:11" s="14" customFormat="1" ht="15" hidden="1" x14ac:dyDescent="0.2">
      <c r="A38" s="36" t="s">
        <v>42</v>
      </c>
      <c r="B38" s="37" t="s">
        <v>41</v>
      </c>
      <c r="C38" s="26"/>
      <c r="D38" s="38"/>
      <c r="E38" s="26"/>
      <c r="F38" s="48"/>
      <c r="G38" s="26">
        <f t="shared" si="0"/>
        <v>0</v>
      </c>
      <c r="H38" s="26">
        <f t="shared" si="1"/>
        <v>0</v>
      </c>
      <c r="I38" s="14">
        <v>2564.3000000000002</v>
      </c>
      <c r="J38" s="14">
        <v>1.07</v>
      </c>
      <c r="K38" s="15">
        <v>0</v>
      </c>
    </row>
    <row r="39" spans="1:11" s="14" customFormat="1" ht="15" hidden="1" x14ac:dyDescent="0.2">
      <c r="A39" s="36" t="s">
        <v>43</v>
      </c>
      <c r="B39" s="37" t="s">
        <v>44</v>
      </c>
      <c r="C39" s="26"/>
      <c r="D39" s="38"/>
      <c r="E39" s="26"/>
      <c r="F39" s="48"/>
      <c r="G39" s="26">
        <f t="shared" si="0"/>
        <v>0</v>
      </c>
      <c r="H39" s="26">
        <f t="shared" si="1"/>
        <v>0</v>
      </c>
      <c r="I39" s="14">
        <v>2564.3000000000002</v>
      </c>
      <c r="J39" s="14">
        <v>1.07</v>
      </c>
      <c r="K39" s="15">
        <v>0</v>
      </c>
    </row>
    <row r="40" spans="1:11" s="14" customFormat="1" ht="25.5" hidden="1" x14ac:dyDescent="0.2">
      <c r="A40" s="36" t="s">
        <v>45</v>
      </c>
      <c r="B40" s="37" t="s">
        <v>28</v>
      </c>
      <c r="C40" s="26"/>
      <c r="D40" s="38"/>
      <c r="E40" s="26"/>
      <c r="F40" s="48"/>
      <c r="G40" s="26">
        <f t="shared" si="0"/>
        <v>0</v>
      </c>
      <c r="H40" s="26">
        <f t="shared" si="1"/>
        <v>0</v>
      </c>
      <c r="I40" s="14">
        <v>2564.3000000000002</v>
      </c>
      <c r="J40" s="14">
        <v>1.07</v>
      </c>
      <c r="K40" s="15">
        <v>0</v>
      </c>
    </row>
    <row r="41" spans="1:11" s="14" customFormat="1" ht="45" x14ac:dyDescent="0.2">
      <c r="A41" s="46" t="s">
        <v>46</v>
      </c>
      <c r="B41" s="25" t="s">
        <v>141</v>
      </c>
      <c r="C41" s="26"/>
      <c r="D41" s="38">
        <f>3407.5*1.105</f>
        <v>3765.29</v>
      </c>
      <c r="E41" s="26"/>
      <c r="F41" s="48"/>
      <c r="G41" s="26">
        <f>D41/I41</f>
        <v>1.47</v>
      </c>
      <c r="H41" s="28">
        <f>G41/12</f>
        <v>0.12</v>
      </c>
      <c r="I41" s="14">
        <v>2564.3000000000002</v>
      </c>
      <c r="K41" s="15"/>
    </row>
    <row r="42" spans="1:11" s="14" customFormat="1" ht="20.25" customHeight="1" x14ac:dyDescent="0.2">
      <c r="A42" s="46" t="s">
        <v>47</v>
      </c>
      <c r="B42" s="25" t="s">
        <v>22</v>
      </c>
      <c r="C42" s="26">
        <f>F42*12</f>
        <v>0</v>
      </c>
      <c r="D42" s="38">
        <f>G42*I42</f>
        <v>54465.73</v>
      </c>
      <c r="E42" s="26">
        <f>H42*12</f>
        <v>21.24</v>
      </c>
      <c r="F42" s="48"/>
      <c r="G42" s="26">
        <f>H42*12</f>
        <v>21.24</v>
      </c>
      <c r="H42" s="28">
        <v>1.77</v>
      </c>
      <c r="I42" s="14">
        <v>2564.3000000000002</v>
      </c>
      <c r="J42" s="14">
        <v>1.07</v>
      </c>
      <c r="K42" s="15">
        <v>1.4</v>
      </c>
    </row>
    <row r="43" spans="1:11" s="14" customFormat="1" ht="15" hidden="1" x14ac:dyDescent="0.2">
      <c r="A43" s="36" t="s">
        <v>48</v>
      </c>
      <c r="B43" s="37" t="s">
        <v>41</v>
      </c>
      <c r="C43" s="26"/>
      <c r="D43" s="38">
        <f t="shared" ref="D43:D48" ca="1" si="2">G43*I43</f>
        <v>49234.559999999998</v>
      </c>
      <c r="E43" s="26">
        <f t="shared" ref="E43:E48" ca="1" si="3">H43*12</f>
        <v>19.2</v>
      </c>
      <c r="F43" s="48"/>
      <c r="G43" s="26">
        <f t="shared" ref="G43:G48" ca="1" si="4">H43*12</f>
        <v>19.2</v>
      </c>
      <c r="H43" s="26">
        <f t="shared" ca="1" si="1"/>
        <v>0</v>
      </c>
      <c r="J43" s="14">
        <v>1.07</v>
      </c>
      <c r="K43" s="15">
        <v>0</v>
      </c>
    </row>
    <row r="44" spans="1:11" s="14" customFormat="1" ht="15" hidden="1" x14ac:dyDescent="0.2">
      <c r="A44" s="36" t="s">
        <v>49</v>
      </c>
      <c r="B44" s="37" t="s">
        <v>44</v>
      </c>
      <c r="C44" s="26"/>
      <c r="D44" s="38">
        <f t="shared" ca="1" si="2"/>
        <v>49234.559999999998</v>
      </c>
      <c r="E44" s="26">
        <f t="shared" ca="1" si="3"/>
        <v>19.2</v>
      </c>
      <c r="F44" s="48"/>
      <c r="G44" s="26">
        <f t="shared" ca="1" si="4"/>
        <v>19.2</v>
      </c>
      <c r="H44" s="26">
        <f t="shared" ca="1" si="1"/>
        <v>0</v>
      </c>
      <c r="J44" s="14">
        <v>1.07</v>
      </c>
      <c r="K44" s="15">
        <v>0</v>
      </c>
    </row>
    <row r="45" spans="1:11" s="14" customFormat="1" ht="25.5" hidden="1" x14ac:dyDescent="0.2">
      <c r="A45" s="36" t="s">
        <v>50</v>
      </c>
      <c r="B45" s="37" t="s">
        <v>51</v>
      </c>
      <c r="C45" s="26"/>
      <c r="D45" s="38">
        <f t="shared" ca="1" si="2"/>
        <v>49234.559999999998</v>
      </c>
      <c r="E45" s="26">
        <f t="shared" ca="1" si="3"/>
        <v>19.2</v>
      </c>
      <c r="F45" s="48"/>
      <c r="G45" s="26">
        <f t="shared" ca="1" si="4"/>
        <v>19.2</v>
      </c>
      <c r="H45" s="26">
        <f t="shared" ca="1" si="1"/>
        <v>0</v>
      </c>
      <c r="J45" s="14">
        <v>1.07</v>
      </c>
      <c r="K45" s="15">
        <v>0</v>
      </c>
    </row>
    <row r="46" spans="1:11" s="14" customFormat="1" ht="15" hidden="1" x14ac:dyDescent="0.2">
      <c r="A46" s="36" t="s">
        <v>52</v>
      </c>
      <c r="B46" s="37" t="s">
        <v>53</v>
      </c>
      <c r="C46" s="26"/>
      <c r="D46" s="38">
        <f t="shared" ca="1" si="2"/>
        <v>49234.559999999998</v>
      </c>
      <c r="E46" s="26">
        <f t="shared" ca="1" si="3"/>
        <v>19.2</v>
      </c>
      <c r="F46" s="48"/>
      <c r="G46" s="26">
        <f t="shared" ca="1" si="4"/>
        <v>19.2</v>
      </c>
      <c r="H46" s="26">
        <f t="shared" ca="1" si="1"/>
        <v>0</v>
      </c>
      <c r="J46" s="14">
        <v>1.07</v>
      </c>
      <c r="K46" s="15">
        <v>0</v>
      </c>
    </row>
    <row r="47" spans="1:11" s="14" customFormat="1" ht="15" hidden="1" x14ac:dyDescent="0.2">
      <c r="A47" s="36" t="s">
        <v>54</v>
      </c>
      <c r="B47" s="37" t="s">
        <v>44</v>
      </c>
      <c r="C47" s="26"/>
      <c r="D47" s="38">
        <f t="shared" ca="1" si="2"/>
        <v>49234.559999999998</v>
      </c>
      <c r="E47" s="26">
        <f t="shared" ca="1" si="3"/>
        <v>19.2</v>
      </c>
      <c r="F47" s="48"/>
      <c r="G47" s="26">
        <f t="shared" ca="1" si="4"/>
        <v>19.2</v>
      </c>
      <c r="H47" s="26">
        <f t="shared" ca="1" si="1"/>
        <v>0</v>
      </c>
      <c r="J47" s="14">
        <v>1.07</v>
      </c>
      <c r="K47" s="15">
        <v>0</v>
      </c>
    </row>
    <row r="48" spans="1:11" s="14" customFormat="1" ht="28.5" x14ac:dyDescent="0.2">
      <c r="A48" s="46" t="s">
        <v>55</v>
      </c>
      <c r="B48" s="49" t="s">
        <v>56</v>
      </c>
      <c r="C48" s="26">
        <f>F48*12</f>
        <v>0</v>
      </c>
      <c r="D48" s="38">
        <f t="shared" si="2"/>
        <v>116008.93</v>
      </c>
      <c r="E48" s="26">
        <f t="shared" si="3"/>
        <v>45.24</v>
      </c>
      <c r="F48" s="48"/>
      <c r="G48" s="26">
        <f t="shared" si="4"/>
        <v>45.24</v>
      </c>
      <c r="H48" s="28">
        <v>3.77</v>
      </c>
      <c r="I48" s="14">
        <v>2564.3000000000002</v>
      </c>
      <c r="J48" s="14">
        <v>1.07</v>
      </c>
      <c r="K48" s="15">
        <v>2.99</v>
      </c>
    </row>
    <row r="49" spans="1:11" s="22" customFormat="1" ht="30" x14ac:dyDescent="0.2">
      <c r="A49" s="46" t="s">
        <v>57</v>
      </c>
      <c r="B49" s="25" t="s">
        <v>13</v>
      </c>
      <c r="C49" s="50"/>
      <c r="D49" s="38">
        <v>2042.21</v>
      </c>
      <c r="E49" s="50"/>
      <c r="F49" s="48"/>
      <c r="G49" s="26">
        <f t="shared" ref="G49:G54" si="5">D49/I49</f>
        <v>0.67</v>
      </c>
      <c r="H49" s="28">
        <f t="shared" si="1"/>
        <v>0.06</v>
      </c>
      <c r="I49" s="14">
        <v>3045.4</v>
      </c>
      <c r="J49" s="14">
        <v>1.07</v>
      </c>
      <c r="K49" s="15">
        <v>0.04</v>
      </c>
    </row>
    <row r="50" spans="1:11" s="22" customFormat="1" ht="30.75" customHeight="1" x14ac:dyDescent="0.2">
      <c r="A50" s="46" t="s">
        <v>58</v>
      </c>
      <c r="B50" s="25" t="s">
        <v>13</v>
      </c>
      <c r="C50" s="50"/>
      <c r="D50" s="38">
        <v>2042.21</v>
      </c>
      <c r="E50" s="50"/>
      <c r="F50" s="48"/>
      <c r="G50" s="26">
        <f t="shared" si="5"/>
        <v>0.67</v>
      </c>
      <c r="H50" s="28">
        <f t="shared" si="1"/>
        <v>0.06</v>
      </c>
      <c r="I50" s="14">
        <v>3045.4</v>
      </c>
      <c r="J50" s="14">
        <v>1.07</v>
      </c>
      <c r="K50" s="15">
        <v>0.04</v>
      </c>
    </row>
    <row r="51" spans="1:11" s="22" customFormat="1" ht="18.75" customHeight="1" x14ac:dyDescent="0.2">
      <c r="A51" s="46" t="s">
        <v>59</v>
      </c>
      <c r="B51" s="25" t="s">
        <v>13</v>
      </c>
      <c r="C51" s="50"/>
      <c r="D51" s="38">
        <v>12896.1</v>
      </c>
      <c r="E51" s="50"/>
      <c r="F51" s="48"/>
      <c r="G51" s="26">
        <f t="shared" si="5"/>
        <v>4.2300000000000004</v>
      </c>
      <c r="H51" s="28">
        <f t="shared" si="1"/>
        <v>0.35</v>
      </c>
      <c r="I51" s="14">
        <v>3045.4</v>
      </c>
      <c r="J51" s="14">
        <v>1.07</v>
      </c>
      <c r="K51" s="15">
        <v>0.28000000000000003</v>
      </c>
    </row>
    <row r="52" spans="1:11" s="22" customFormat="1" ht="30" hidden="1" x14ac:dyDescent="0.2">
      <c r="A52" s="46" t="s">
        <v>60</v>
      </c>
      <c r="B52" s="25" t="s">
        <v>28</v>
      </c>
      <c r="C52" s="50"/>
      <c r="D52" s="38">
        <f ca="1">G52*I52</f>
        <v>0</v>
      </c>
      <c r="E52" s="50"/>
      <c r="F52" s="48"/>
      <c r="G52" s="26">
        <f t="shared" ca="1" si="5"/>
        <v>3.59</v>
      </c>
      <c r="H52" s="26">
        <f t="shared" ca="1" si="1"/>
        <v>0.3</v>
      </c>
      <c r="I52" s="14">
        <v>2564.3000000000002</v>
      </c>
      <c r="J52" s="14">
        <v>1.07</v>
      </c>
      <c r="K52" s="15">
        <v>0</v>
      </c>
    </row>
    <row r="53" spans="1:11" s="22" customFormat="1" ht="30" hidden="1" x14ac:dyDescent="0.2">
      <c r="A53" s="46" t="s">
        <v>61</v>
      </c>
      <c r="B53" s="25" t="s">
        <v>28</v>
      </c>
      <c r="C53" s="50"/>
      <c r="D53" s="38">
        <f ca="1">G53*I53</f>
        <v>0</v>
      </c>
      <c r="E53" s="50"/>
      <c r="F53" s="48"/>
      <c r="G53" s="26">
        <f t="shared" ca="1" si="5"/>
        <v>3.59</v>
      </c>
      <c r="H53" s="26">
        <f t="shared" ca="1" si="1"/>
        <v>0.3</v>
      </c>
      <c r="I53" s="14">
        <v>2564.3000000000002</v>
      </c>
      <c r="J53" s="14">
        <v>1.07</v>
      </c>
      <c r="K53" s="15">
        <v>0</v>
      </c>
    </row>
    <row r="54" spans="1:11" s="22" customFormat="1" ht="30" hidden="1" x14ac:dyDescent="0.2">
      <c r="A54" s="46" t="s">
        <v>62</v>
      </c>
      <c r="B54" s="25" t="s">
        <v>28</v>
      </c>
      <c r="C54" s="50"/>
      <c r="D54" s="38">
        <f ca="1">G54*I54</f>
        <v>0</v>
      </c>
      <c r="E54" s="50"/>
      <c r="F54" s="48"/>
      <c r="G54" s="26">
        <f t="shared" ca="1" si="5"/>
        <v>3.59</v>
      </c>
      <c r="H54" s="26">
        <f t="shared" ca="1" si="1"/>
        <v>0.3</v>
      </c>
      <c r="I54" s="14">
        <v>2564.3000000000002</v>
      </c>
      <c r="J54" s="14">
        <v>1.07</v>
      </c>
      <c r="K54" s="15">
        <v>0</v>
      </c>
    </row>
    <row r="55" spans="1:11" s="22" customFormat="1" ht="30" x14ac:dyDescent="0.2">
      <c r="A55" s="46" t="s">
        <v>63</v>
      </c>
      <c r="B55" s="25"/>
      <c r="C55" s="50">
        <f>F55*12</f>
        <v>0</v>
      </c>
      <c r="D55" s="38">
        <f>G55*I55</f>
        <v>6462.04</v>
      </c>
      <c r="E55" s="50">
        <f>H55*12</f>
        <v>2.52</v>
      </c>
      <c r="F55" s="48"/>
      <c r="G55" s="26">
        <f>H55*12</f>
        <v>2.52</v>
      </c>
      <c r="H55" s="28">
        <v>0.21</v>
      </c>
      <c r="I55" s="14">
        <v>2564.3000000000002</v>
      </c>
      <c r="J55" s="14">
        <v>1.07</v>
      </c>
      <c r="K55" s="15">
        <v>0.14000000000000001</v>
      </c>
    </row>
    <row r="56" spans="1:11" s="14" customFormat="1" ht="15" x14ac:dyDescent="0.2">
      <c r="A56" s="46" t="s">
        <v>64</v>
      </c>
      <c r="B56" s="25" t="s">
        <v>65</v>
      </c>
      <c r="C56" s="50">
        <f>F56*12</f>
        <v>0</v>
      </c>
      <c r="D56" s="38">
        <f>G56*I56</f>
        <v>2192.69</v>
      </c>
      <c r="E56" s="50">
        <f>H56*12</f>
        <v>0.72</v>
      </c>
      <c r="F56" s="48"/>
      <c r="G56" s="26">
        <f>H56*12</f>
        <v>0.72</v>
      </c>
      <c r="H56" s="28">
        <v>0.06</v>
      </c>
      <c r="I56" s="14">
        <v>3045.4</v>
      </c>
      <c r="J56" s="14">
        <v>1.07</v>
      </c>
      <c r="K56" s="15">
        <v>0.03</v>
      </c>
    </row>
    <row r="57" spans="1:11" s="14" customFormat="1" ht="15" x14ac:dyDescent="0.2">
      <c r="A57" s="46" t="s">
        <v>66</v>
      </c>
      <c r="B57" s="51" t="s">
        <v>67</v>
      </c>
      <c r="C57" s="52">
        <f>F57*12</f>
        <v>0</v>
      </c>
      <c r="D57" s="38">
        <f t="shared" ref="D57:D58" si="6">G57*I57</f>
        <v>1461.79</v>
      </c>
      <c r="E57" s="50">
        <f t="shared" ref="E57:E58" si="7">H57*12</f>
        <v>0.48</v>
      </c>
      <c r="F57" s="48"/>
      <c r="G57" s="26">
        <f t="shared" ref="G57:G58" si="8">H57*12</f>
        <v>0.48</v>
      </c>
      <c r="H57" s="28">
        <v>0.04</v>
      </c>
      <c r="I57" s="14">
        <v>3045.4</v>
      </c>
      <c r="J57" s="14">
        <v>1.07</v>
      </c>
      <c r="K57" s="15">
        <v>0.02</v>
      </c>
    </row>
    <row r="58" spans="1:11" s="47" customFormat="1" ht="30" x14ac:dyDescent="0.2">
      <c r="A58" s="46" t="s">
        <v>68</v>
      </c>
      <c r="B58" s="25" t="s">
        <v>69</v>
      </c>
      <c r="C58" s="50">
        <f>F58*12</f>
        <v>0</v>
      </c>
      <c r="D58" s="38">
        <f t="shared" si="6"/>
        <v>1827.24</v>
      </c>
      <c r="E58" s="50">
        <f t="shared" si="7"/>
        <v>0.6</v>
      </c>
      <c r="F58" s="48"/>
      <c r="G58" s="26">
        <f t="shared" si="8"/>
        <v>0.6</v>
      </c>
      <c r="H58" s="28">
        <v>0.05</v>
      </c>
      <c r="I58" s="14">
        <v>3045.4</v>
      </c>
      <c r="J58" s="14">
        <v>1.07</v>
      </c>
      <c r="K58" s="15">
        <v>0.03</v>
      </c>
    </row>
    <row r="59" spans="1:11" s="47" customFormat="1" ht="15" x14ac:dyDescent="0.2">
      <c r="A59" s="46" t="s">
        <v>70</v>
      </c>
      <c r="B59" s="25"/>
      <c r="C59" s="26"/>
      <c r="D59" s="26">
        <f>D61+D62+D63+D64+D65+D66+D67+D68+D69+D71+D70</f>
        <v>67883.759999999995</v>
      </c>
      <c r="E59" s="26" t="e">
        <f>E61+E62+E64+E65+E66+E67+E68+E69+E70+E71+#REF!+#REF!</f>
        <v>#REF!</v>
      </c>
      <c r="F59" s="26" t="e">
        <f>F61+F62+F64+F65+F66+F67+F68+F69+F70+F71+#REF!+#REF!</f>
        <v>#REF!</v>
      </c>
      <c r="G59" s="26"/>
      <c r="H59" s="26">
        <f>G59/12</f>
        <v>0</v>
      </c>
      <c r="I59" s="14">
        <v>3045.4</v>
      </c>
      <c r="J59" s="14">
        <v>1.07</v>
      </c>
      <c r="K59" s="15">
        <v>0.71</v>
      </c>
    </row>
    <row r="60" spans="1:11" s="22" customFormat="1" ht="15" hidden="1" x14ac:dyDescent="0.2">
      <c r="A60" s="53"/>
      <c r="B60" s="37"/>
      <c r="C60" s="54"/>
      <c r="D60" s="55"/>
      <c r="E60" s="54"/>
      <c r="F60" s="56"/>
      <c r="G60" s="54"/>
      <c r="H60" s="54"/>
      <c r="I60" s="14"/>
      <c r="J60" s="14"/>
      <c r="K60" s="15"/>
    </row>
    <row r="61" spans="1:11" s="22" customFormat="1" ht="15" x14ac:dyDescent="0.2">
      <c r="A61" s="53" t="s">
        <v>71</v>
      </c>
      <c r="B61" s="37" t="s">
        <v>51</v>
      </c>
      <c r="C61" s="54"/>
      <c r="D61" s="57">
        <v>325.83</v>
      </c>
      <c r="E61" s="54"/>
      <c r="F61" s="56"/>
      <c r="G61" s="54"/>
      <c r="H61" s="54"/>
      <c r="I61" s="14">
        <v>3045.4</v>
      </c>
      <c r="J61" s="14">
        <v>1.07</v>
      </c>
      <c r="K61" s="15">
        <v>0.01</v>
      </c>
    </row>
    <row r="62" spans="1:11" s="22" customFormat="1" ht="15" x14ac:dyDescent="0.2">
      <c r="A62" s="53" t="s">
        <v>72</v>
      </c>
      <c r="B62" s="37" t="s">
        <v>53</v>
      </c>
      <c r="C62" s="54">
        <f>F62*12</f>
        <v>0</v>
      </c>
      <c r="D62" s="57">
        <v>918.96</v>
      </c>
      <c r="E62" s="54">
        <f>H62*12</f>
        <v>0</v>
      </c>
      <c r="F62" s="56"/>
      <c r="G62" s="54"/>
      <c r="H62" s="54"/>
      <c r="I62" s="14">
        <v>3045.4</v>
      </c>
      <c r="J62" s="14">
        <v>1.07</v>
      </c>
      <c r="K62" s="15">
        <v>0.01</v>
      </c>
    </row>
    <row r="63" spans="1:11" s="22" customFormat="1" ht="15" x14ac:dyDescent="0.2">
      <c r="A63" s="53" t="s">
        <v>132</v>
      </c>
      <c r="B63" s="60" t="s">
        <v>51</v>
      </c>
      <c r="C63" s="54"/>
      <c r="D63" s="57">
        <v>1637.48</v>
      </c>
      <c r="E63" s="54"/>
      <c r="F63" s="56"/>
      <c r="G63" s="54"/>
      <c r="H63" s="54"/>
      <c r="I63" s="14">
        <v>3045.4</v>
      </c>
      <c r="J63" s="14"/>
      <c r="K63" s="15"/>
    </row>
    <row r="64" spans="1:11" s="22" customFormat="1" ht="25.5" x14ac:dyDescent="0.2">
      <c r="A64" s="113" t="s">
        <v>148</v>
      </c>
      <c r="B64" s="116" t="s">
        <v>28</v>
      </c>
      <c r="C64" s="58"/>
      <c r="D64" s="58">
        <v>43586.34</v>
      </c>
      <c r="E64" s="54">
        <f>H64*12</f>
        <v>0</v>
      </c>
      <c r="F64" s="56"/>
      <c r="G64" s="54"/>
      <c r="H64" s="54"/>
      <c r="I64" s="14">
        <v>2564.3000000000002</v>
      </c>
      <c r="J64" s="14">
        <v>1.07</v>
      </c>
      <c r="K64" s="15">
        <v>0.27</v>
      </c>
    </row>
    <row r="65" spans="1:11" s="22" customFormat="1" ht="15" x14ac:dyDescent="0.2">
      <c r="A65" s="53" t="s">
        <v>73</v>
      </c>
      <c r="B65" s="37" t="s">
        <v>51</v>
      </c>
      <c r="C65" s="54">
        <f>F65*12</f>
        <v>0</v>
      </c>
      <c r="D65" s="57">
        <v>1751.22</v>
      </c>
      <c r="E65" s="54">
        <f>H65*12</f>
        <v>0</v>
      </c>
      <c r="F65" s="56"/>
      <c r="G65" s="54"/>
      <c r="H65" s="54"/>
      <c r="I65" s="14">
        <v>3045.4</v>
      </c>
      <c r="J65" s="14">
        <v>1.07</v>
      </c>
      <c r="K65" s="15">
        <v>0.02</v>
      </c>
    </row>
    <row r="66" spans="1:11" s="22" customFormat="1" ht="15" x14ac:dyDescent="0.2">
      <c r="A66" s="53" t="s">
        <v>74</v>
      </c>
      <c r="B66" s="37" t="s">
        <v>51</v>
      </c>
      <c r="C66" s="54">
        <f>F66*12</f>
        <v>0</v>
      </c>
      <c r="D66" s="57">
        <v>5855.59</v>
      </c>
      <c r="E66" s="54">
        <f>H66*12</f>
        <v>0</v>
      </c>
      <c r="F66" s="56"/>
      <c r="G66" s="54"/>
      <c r="H66" s="54"/>
      <c r="I66" s="14">
        <v>3045.4</v>
      </c>
      <c r="J66" s="14">
        <v>1.07</v>
      </c>
      <c r="K66" s="15">
        <v>0.1</v>
      </c>
    </row>
    <row r="67" spans="1:11" s="22" customFormat="1" ht="15" x14ac:dyDescent="0.2">
      <c r="A67" s="53" t="s">
        <v>133</v>
      </c>
      <c r="B67" s="37" t="s">
        <v>51</v>
      </c>
      <c r="C67" s="54">
        <f>F67*12</f>
        <v>0</v>
      </c>
      <c r="D67" s="57">
        <v>918.95</v>
      </c>
      <c r="E67" s="54">
        <f>H67*12</f>
        <v>0</v>
      </c>
      <c r="F67" s="56"/>
      <c r="G67" s="54"/>
      <c r="H67" s="54"/>
      <c r="I67" s="14">
        <v>3045.4</v>
      </c>
      <c r="J67" s="14">
        <v>1.07</v>
      </c>
      <c r="K67" s="15">
        <v>0.02</v>
      </c>
    </row>
    <row r="68" spans="1:11" s="22" customFormat="1" ht="15" x14ac:dyDescent="0.2">
      <c r="A68" s="53" t="s">
        <v>75</v>
      </c>
      <c r="B68" s="37" t="s">
        <v>51</v>
      </c>
      <c r="C68" s="54"/>
      <c r="D68" s="57">
        <v>437.79</v>
      </c>
      <c r="E68" s="54"/>
      <c r="F68" s="56"/>
      <c r="G68" s="54"/>
      <c r="H68" s="54"/>
      <c r="I68" s="14">
        <v>3045.4</v>
      </c>
      <c r="J68" s="14">
        <v>1.07</v>
      </c>
      <c r="K68" s="15">
        <v>0.01</v>
      </c>
    </row>
    <row r="69" spans="1:11" s="22" customFormat="1" ht="15" x14ac:dyDescent="0.2">
      <c r="A69" s="53" t="s">
        <v>76</v>
      </c>
      <c r="B69" s="37" t="s">
        <v>53</v>
      </c>
      <c r="C69" s="54"/>
      <c r="D69" s="61">
        <v>3502.46</v>
      </c>
      <c r="E69" s="54"/>
      <c r="F69" s="56"/>
      <c r="G69" s="54"/>
      <c r="H69" s="54"/>
      <c r="I69" s="14">
        <v>3045.4</v>
      </c>
      <c r="J69" s="14">
        <v>1.07</v>
      </c>
      <c r="K69" s="15">
        <v>0.04</v>
      </c>
    </row>
    <row r="70" spans="1:11" s="22" customFormat="1" ht="25.5" x14ac:dyDescent="0.2">
      <c r="A70" s="53" t="s">
        <v>77</v>
      </c>
      <c r="B70" s="37" t="s">
        <v>51</v>
      </c>
      <c r="C70" s="54">
        <f>F70*12</f>
        <v>0</v>
      </c>
      <c r="D70" s="57">
        <v>2891.57</v>
      </c>
      <c r="E70" s="54">
        <f>H70*12</f>
        <v>0</v>
      </c>
      <c r="F70" s="56"/>
      <c r="G70" s="54"/>
      <c r="H70" s="54"/>
      <c r="I70" s="14">
        <v>3045.4</v>
      </c>
      <c r="J70" s="14">
        <v>1.07</v>
      </c>
      <c r="K70" s="15">
        <v>0.06</v>
      </c>
    </row>
    <row r="71" spans="1:11" s="22" customFormat="1" ht="15" x14ac:dyDescent="0.2">
      <c r="A71" s="53" t="s">
        <v>78</v>
      </c>
      <c r="B71" s="37" t="s">
        <v>51</v>
      </c>
      <c r="C71" s="54"/>
      <c r="D71" s="57">
        <v>6057.57</v>
      </c>
      <c r="E71" s="54"/>
      <c r="F71" s="56"/>
      <c r="G71" s="54"/>
      <c r="H71" s="54"/>
      <c r="I71" s="14">
        <v>3045.4</v>
      </c>
      <c r="J71" s="14">
        <v>1.07</v>
      </c>
      <c r="K71" s="15">
        <v>0.01</v>
      </c>
    </row>
    <row r="72" spans="1:11" s="22" customFormat="1" ht="15" hidden="1" x14ac:dyDescent="0.2">
      <c r="A72" s="53"/>
      <c r="B72" s="37"/>
      <c r="C72" s="59"/>
      <c r="D72" s="55"/>
      <c r="E72" s="59"/>
      <c r="F72" s="56"/>
      <c r="G72" s="54"/>
      <c r="H72" s="54"/>
      <c r="I72" s="14"/>
      <c r="J72" s="14"/>
      <c r="K72" s="15"/>
    </row>
    <row r="73" spans="1:11" s="22" customFormat="1" ht="15" hidden="1" x14ac:dyDescent="0.2">
      <c r="A73" s="53"/>
      <c r="B73" s="37"/>
      <c r="C73" s="54"/>
      <c r="D73" s="55"/>
      <c r="E73" s="54"/>
      <c r="F73" s="56"/>
      <c r="G73" s="54"/>
      <c r="H73" s="54"/>
      <c r="I73" s="14"/>
      <c r="J73" s="14"/>
      <c r="K73" s="15"/>
    </row>
    <row r="74" spans="1:11" s="47" customFormat="1" ht="30" x14ac:dyDescent="0.2">
      <c r="A74" s="46" t="s">
        <v>79</v>
      </c>
      <c r="B74" s="25"/>
      <c r="C74" s="26"/>
      <c r="D74" s="26">
        <f>D76+D77+D81+D83</f>
        <v>39913.68</v>
      </c>
      <c r="E74" s="26" t="e">
        <f>#REF!+#REF!+E77+#REF!+#REF!+#REF!+E83</f>
        <v>#REF!</v>
      </c>
      <c r="F74" s="26" t="e">
        <f>#REF!+#REF!+F77+#REF!+#REF!+#REF!+F83</f>
        <v>#REF!</v>
      </c>
      <c r="G74" s="26"/>
      <c r="H74" s="26">
        <f>G74/12</f>
        <v>0</v>
      </c>
      <c r="I74" s="14">
        <v>2564.3000000000002</v>
      </c>
      <c r="J74" s="14">
        <v>1.07</v>
      </c>
      <c r="K74" s="15">
        <v>0.85</v>
      </c>
    </row>
    <row r="75" spans="1:11" s="22" customFormat="1" ht="25.5" hidden="1" x14ac:dyDescent="0.2">
      <c r="A75" s="53" t="s">
        <v>80</v>
      </c>
      <c r="B75" s="60" t="s">
        <v>51</v>
      </c>
      <c r="C75" s="54"/>
      <c r="D75" s="55"/>
      <c r="E75" s="54"/>
      <c r="F75" s="56"/>
      <c r="G75" s="54"/>
      <c r="H75" s="54"/>
      <c r="I75" s="14">
        <v>3045.4</v>
      </c>
      <c r="J75" s="14">
        <v>1.07</v>
      </c>
      <c r="K75" s="15">
        <v>0.04</v>
      </c>
    </row>
    <row r="76" spans="1:11" s="22" customFormat="1" ht="15" x14ac:dyDescent="0.2">
      <c r="A76" s="53" t="s">
        <v>157</v>
      </c>
      <c r="B76" s="60" t="s">
        <v>53</v>
      </c>
      <c r="C76" s="54"/>
      <c r="D76" s="57">
        <f>9865*2</f>
        <v>19730</v>
      </c>
      <c r="E76" s="54"/>
      <c r="F76" s="56"/>
      <c r="G76" s="54"/>
      <c r="H76" s="54"/>
      <c r="I76" s="14"/>
      <c r="J76" s="14"/>
      <c r="K76" s="15"/>
    </row>
    <row r="77" spans="1:11" s="22" customFormat="1" ht="25.5" x14ac:dyDescent="0.2">
      <c r="A77" s="53" t="s">
        <v>81</v>
      </c>
      <c r="B77" s="37" t="s">
        <v>82</v>
      </c>
      <c r="C77" s="54"/>
      <c r="D77" s="57">
        <v>1751.2</v>
      </c>
      <c r="E77" s="54"/>
      <c r="F77" s="56"/>
      <c r="G77" s="54"/>
      <c r="H77" s="54"/>
      <c r="I77" s="14">
        <v>2564.3000000000002</v>
      </c>
      <c r="J77" s="14">
        <v>1.07</v>
      </c>
      <c r="K77" s="15">
        <v>0.04</v>
      </c>
    </row>
    <row r="78" spans="1:11" s="22" customFormat="1" ht="15" hidden="1" x14ac:dyDescent="0.2">
      <c r="A78" s="53" t="s">
        <v>83</v>
      </c>
      <c r="B78" s="37" t="s">
        <v>84</v>
      </c>
      <c r="C78" s="54"/>
      <c r="D78" s="55"/>
      <c r="E78" s="54"/>
      <c r="F78" s="56"/>
      <c r="G78" s="54"/>
      <c r="H78" s="54"/>
      <c r="I78" s="14">
        <v>2564.3000000000002</v>
      </c>
      <c r="J78" s="14">
        <v>1.07</v>
      </c>
      <c r="K78" s="15">
        <v>0</v>
      </c>
    </row>
    <row r="79" spans="1:11" s="22" customFormat="1" ht="15" hidden="1" x14ac:dyDescent="0.2">
      <c r="A79" s="53" t="s">
        <v>85</v>
      </c>
      <c r="B79" s="37" t="s">
        <v>51</v>
      </c>
      <c r="C79" s="54"/>
      <c r="D79" s="55"/>
      <c r="E79" s="54"/>
      <c r="F79" s="56"/>
      <c r="G79" s="54"/>
      <c r="H79" s="54"/>
      <c r="I79" s="14">
        <v>2564.3000000000002</v>
      </c>
      <c r="J79" s="14">
        <v>1.07</v>
      </c>
      <c r="K79" s="15">
        <v>0</v>
      </c>
    </row>
    <row r="80" spans="1:11" s="22" customFormat="1" ht="25.5" hidden="1" x14ac:dyDescent="0.2">
      <c r="A80" s="53" t="s">
        <v>86</v>
      </c>
      <c r="B80" s="37" t="s">
        <v>51</v>
      </c>
      <c r="C80" s="54"/>
      <c r="D80" s="55"/>
      <c r="E80" s="54"/>
      <c r="F80" s="56"/>
      <c r="G80" s="54"/>
      <c r="H80" s="54"/>
      <c r="I80" s="14">
        <v>2564.3000000000002</v>
      </c>
      <c r="J80" s="14">
        <v>1.07</v>
      </c>
      <c r="K80" s="15">
        <v>0</v>
      </c>
    </row>
    <row r="81" spans="1:11" s="22" customFormat="1" ht="25.5" x14ac:dyDescent="0.2">
      <c r="A81" s="53" t="s">
        <v>87</v>
      </c>
      <c r="B81" s="60" t="s">
        <v>28</v>
      </c>
      <c r="C81" s="54"/>
      <c r="D81" s="57">
        <v>12204</v>
      </c>
      <c r="E81" s="54"/>
      <c r="F81" s="56"/>
      <c r="G81" s="54"/>
      <c r="H81" s="54"/>
      <c r="I81" s="14">
        <v>2564.3000000000002</v>
      </c>
      <c r="J81" s="14"/>
      <c r="K81" s="15"/>
    </row>
    <row r="82" spans="1:11" s="22" customFormat="1" ht="25.5" hidden="1" x14ac:dyDescent="0.2">
      <c r="A82" s="53" t="s">
        <v>87</v>
      </c>
      <c r="B82" s="37" t="s">
        <v>28</v>
      </c>
      <c r="C82" s="54"/>
      <c r="D82" s="55">
        <f>G82*I82</f>
        <v>0</v>
      </c>
      <c r="E82" s="54"/>
      <c r="F82" s="56"/>
      <c r="G82" s="54"/>
      <c r="H82" s="54"/>
      <c r="I82" s="14">
        <v>3045.4</v>
      </c>
      <c r="J82" s="14">
        <v>1.07</v>
      </c>
      <c r="K82" s="15">
        <v>0.27</v>
      </c>
    </row>
    <row r="83" spans="1:11" s="22" customFormat="1" ht="15" x14ac:dyDescent="0.2">
      <c r="A83" s="53" t="s">
        <v>88</v>
      </c>
      <c r="B83" s="37" t="s">
        <v>13</v>
      </c>
      <c r="C83" s="59"/>
      <c r="D83" s="57">
        <v>6228.48</v>
      </c>
      <c r="E83" s="59"/>
      <c r="F83" s="56"/>
      <c r="G83" s="54"/>
      <c r="H83" s="54"/>
      <c r="I83" s="14">
        <v>3045.4</v>
      </c>
      <c r="J83" s="14">
        <v>1.07</v>
      </c>
      <c r="K83" s="15">
        <v>0.14000000000000001</v>
      </c>
    </row>
    <row r="84" spans="1:11" s="68" customFormat="1" ht="15" hidden="1" x14ac:dyDescent="0.2">
      <c r="A84" s="62" t="s">
        <v>89</v>
      </c>
      <c r="B84" s="63" t="s">
        <v>51</v>
      </c>
      <c r="C84" s="64"/>
      <c r="D84" s="65">
        <f>G84*I84</f>
        <v>0</v>
      </c>
      <c r="E84" s="64"/>
      <c r="F84" s="66"/>
      <c r="G84" s="64">
        <f>H84*12</f>
        <v>0</v>
      </c>
      <c r="H84" s="64">
        <v>0</v>
      </c>
      <c r="I84" s="67">
        <v>3045.4</v>
      </c>
      <c r="J84" s="14">
        <v>1.07</v>
      </c>
      <c r="K84" s="15">
        <v>0</v>
      </c>
    </row>
    <row r="85" spans="1:11" s="22" customFormat="1" ht="30" x14ac:dyDescent="0.2">
      <c r="A85" s="46" t="s">
        <v>90</v>
      </c>
      <c r="B85" s="37"/>
      <c r="C85" s="54"/>
      <c r="D85" s="26">
        <f>D86</f>
        <v>12204</v>
      </c>
      <c r="E85" s="26" t="e">
        <f>#REF!+#REF!+E86</f>
        <v>#REF!</v>
      </c>
      <c r="F85" s="26" t="e">
        <f>#REF!+#REF!+F86</f>
        <v>#REF!</v>
      </c>
      <c r="G85" s="26"/>
      <c r="H85" s="26">
        <f>G85/12</f>
        <v>0</v>
      </c>
      <c r="I85" s="14">
        <v>2564.3000000000002</v>
      </c>
      <c r="J85" s="14">
        <v>1.07</v>
      </c>
      <c r="K85" s="15">
        <v>0.41</v>
      </c>
    </row>
    <row r="86" spans="1:11" s="22" customFormat="1" ht="25.5" x14ac:dyDescent="0.2">
      <c r="A86" s="53" t="s">
        <v>91</v>
      </c>
      <c r="B86" s="41" t="s">
        <v>28</v>
      </c>
      <c r="C86" s="54"/>
      <c r="D86" s="57">
        <v>12204</v>
      </c>
      <c r="E86" s="54"/>
      <c r="F86" s="56"/>
      <c r="G86" s="54"/>
      <c r="H86" s="54"/>
      <c r="I86" s="14">
        <v>3045.4</v>
      </c>
      <c r="J86" s="14">
        <v>1.07</v>
      </c>
      <c r="K86" s="15">
        <v>0.27</v>
      </c>
    </row>
    <row r="87" spans="1:11" s="22" customFormat="1" ht="15" x14ac:dyDescent="0.2">
      <c r="A87" s="46" t="s">
        <v>92</v>
      </c>
      <c r="B87" s="37"/>
      <c r="C87" s="54"/>
      <c r="D87" s="26">
        <f>D89+D90+D96+D97</f>
        <v>33205.089999999997</v>
      </c>
      <c r="E87" s="26">
        <f>E89+E90</f>
        <v>0</v>
      </c>
      <c r="F87" s="26">
        <f>F89+F90</f>
        <v>0</v>
      </c>
      <c r="G87" s="26"/>
      <c r="H87" s="26">
        <f>G87/12</f>
        <v>0</v>
      </c>
      <c r="I87" s="14">
        <v>2564.3000000000002</v>
      </c>
      <c r="J87" s="14">
        <v>1.07</v>
      </c>
      <c r="K87" s="15">
        <v>0.18</v>
      </c>
    </row>
    <row r="88" spans="1:11" s="22" customFormat="1" ht="15" hidden="1" x14ac:dyDescent="0.2">
      <c r="A88" s="53" t="s">
        <v>93</v>
      </c>
      <c r="B88" s="37" t="s">
        <v>13</v>
      </c>
      <c r="C88" s="54"/>
      <c r="D88" s="55">
        <f t="shared" ref="D88:D95" si="9">G88*I88</f>
        <v>0</v>
      </c>
      <c r="E88" s="54"/>
      <c r="F88" s="56"/>
      <c r="G88" s="54">
        <f t="shared" ref="G88:G95" si="10">H88*12</f>
        <v>0</v>
      </c>
      <c r="H88" s="54">
        <v>0</v>
      </c>
      <c r="I88" s="14">
        <v>2564.3000000000002</v>
      </c>
      <c r="J88" s="14">
        <v>1.07</v>
      </c>
      <c r="K88" s="15">
        <v>0</v>
      </c>
    </row>
    <row r="89" spans="1:11" s="22" customFormat="1" ht="15" x14ac:dyDescent="0.2">
      <c r="A89" s="53" t="s">
        <v>94</v>
      </c>
      <c r="B89" s="37" t="s">
        <v>51</v>
      </c>
      <c r="C89" s="54"/>
      <c r="D89" s="57">
        <v>6305.2</v>
      </c>
      <c r="E89" s="54"/>
      <c r="F89" s="56"/>
      <c r="G89" s="54"/>
      <c r="H89" s="54"/>
      <c r="I89" s="14">
        <v>2564.3000000000002</v>
      </c>
      <c r="J89" s="14">
        <v>1.07</v>
      </c>
      <c r="K89" s="15">
        <v>0.16</v>
      </c>
    </row>
    <row r="90" spans="1:11" s="22" customFormat="1" ht="15" x14ac:dyDescent="0.2">
      <c r="A90" s="53" t="s">
        <v>95</v>
      </c>
      <c r="B90" s="37" t="s">
        <v>51</v>
      </c>
      <c r="C90" s="54"/>
      <c r="D90" s="57">
        <v>915.28</v>
      </c>
      <c r="E90" s="54"/>
      <c r="F90" s="56"/>
      <c r="G90" s="54"/>
      <c r="H90" s="54"/>
      <c r="I90" s="14">
        <v>3045.4</v>
      </c>
      <c r="J90" s="14">
        <v>1.07</v>
      </c>
      <c r="K90" s="15">
        <v>0.02</v>
      </c>
    </row>
    <row r="91" spans="1:11" s="22" customFormat="1" ht="27.75" hidden="1" customHeight="1" x14ac:dyDescent="0.2">
      <c r="A91" s="53" t="s">
        <v>96</v>
      </c>
      <c r="B91" s="37" t="s">
        <v>28</v>
      </c>
      <c r="C91" s="54"/>
      <c r="D91" s="55">
        <f t="shared" si="9"/>
        <v>0</v>
      </c>
      <c r="E91" s="54"/>
      <c r="F91" s="56"/>
      <c r="G91" s="54">
        <f t="shared" si="10"/>
        <v>0</v>
      </c>
      <c r="H91" s="54">
        <v>0</v>
      </c>
      <c r="I91" s="14">
        <v>2564.3000000000002</v>
      </c>
      <c r="J91" s="14">
        <v>1.07</v>
      </c>
      <c r="K91" s="15">
        <v>0</v>
      </c>
    </row>
    <row r="92" spans="1:11" s="22" customFormat="1" ht="25.5" hidden="1" x14ac:dyDescent="0.2">
      <c r="A92" s="53" t="s">
        <v>97</v>
      </c>
      <c r="B92" s="37" t="s">
        <v>28</v>
      </c>
      <c r="C92" s="54"/>
      <c r="D92" s="55">
        <f t="shared" si="9"/>
        <v>0</v>
      </c>
      <c r="E92" s="54"/>
      <c r="F92" s="56"/>
      <c r="G92" s="54">
        <f t="shared" si="10"/>
        <v>0</v>
      </c>
      <c r="H92" s="54">
        <v>0</v>
      </c>
      <c r="I92" s="14">
        <v>2564.3000000000002</v>
      </c>
      <c r="J92" s="14">
        <v>1.07</v>
      </c>
      <c r="K92" s="15">
        <v>0</v>
      </c>
    </row>
    <row r="93" spans="1:11" s="22" customFormat="1" ht="25.5" hidden="1" x14ac:dyDescent="0.2">
      <c r="A93" s="53" t="s">
        <v>98</v>
      </c>
      <c r="B93" s="37" t="s">
        <v>28</v>
      </c>
      <c r="C93" s="54"/>
      <c r="D93" s="55">
        <f t="shared" si="9"/>
        <v>0</v>
      </c>
      <c r="E93" s="54"/>
      <c r="F93" s="56"/>
      <c r="G93" s="54">
        <f t="shared" si="10"/>
        <v>0</v>
      </c>
      <c r="H93" s="54">
        <v>0</v>
      </c>
      <c r="I93" s="14">
        <v>2564.3000000000002</v>
      </c>
      <c r="J93" s="14">
        <v>1.07</v>
      </c>
      <c r="K93" s="15">
        <v>0</v>
      </c>
    </row>
    <row r="94" spans="1:11" s="22" customFormat="1" ht="25.5" hidden="1" x14ac:dyDescent="0.2">
      <c r="A94" s="53" t="s">
        <v>99</v>
      </c>
      <c r="B94" s="37" t="s">
        <v>28</v>
      </c>
      <c r="C94" s="54"/>
      <c r="D94" s="55">
        <f t="shared" si="9"/>
        <v>0</v>
      </c>
      <c r="E94" s="54"/>
      <c r="F94" s="56"/>
      <c r="G94" s="54">
        <f t="shared" si="10"/>
        <v>0</v>
      </c>
      <c r="H94" s="54">
        <v>0</v>
      </c>
      <c r="I94" s="14">
        <v>2564.3000000000002</v>
      </c>
      <c r="J94" s="14">
        <v>1.07</v>
      </c>
      <c r="K94" s="15">
        <v>0</v>
      </c>
    </row>
    <row r="95" spans="1:11" s="22" customFormat="1" ht="25.5" hidden="1" x14ac:dyDescent="0.2">
      <c r="A95" s="53" t="s">
        <v>100</v>
      </c>
      <c r="B95" s="37" t="s">
        <v>28</v>
      </c>
      <c r="C95" s="54"/>
      <c r="D95" s="55">
        <f t="shared" si="9"/>
        <v>0</v>
      </c>
      <c r="E95" s="54"/>
      <c r="F95" s="56"/>
      <c r="G95" s="54">
        <f t="shared" si="10"/>
        <v>0</v>
      </c>
      <c r="H95" s="54">
        <v>0</v>
      </c>
      <c r="I95" s="14">
        <v>2564.3000000000002</v>
      </c>
      <c r="J95" s="14">
        <v>1.07</v>
      </c>
      <c r="K95" s="15">
        <v>0</v>
      </c>
    </row>
    <row r="96" spans="1:11" s="22" customFormat="1" ht="15" hidden="1" x14ac:dyDescent="0.2">
      <c r="A96" s="53" t="s">
        <v>101</v>
      </c>
      <c r="B96" s="41" t="s">
        <v>102</v>
      </c>
      <c r="C96" s="54"/>
      <c r="D96" s="108"/>
      <c r="E96" s="59"/>
      <c r="F96" s="108"/>
      <c r="G96" s="59"/>
      <c r="H96" s="59"/>
      <c r="I96" s="14"/>
      <c r="J96" s="14"/>
      <c r="K96" s="15"/>
    </row>
    <row r="97" spans="1:11" s="22" customFormat="1" ht="15" x14ac:dyDescent="0.2">
      <c r="A97" s="53" t="s">
        <v>101</v>
      </c>
      <c r="B97" s="41" t="s">
        <v>135</v>
      </c>
      <c r="C97" s="54"/>
      <c r="D97" s="120">
        <v>25984.61</v>
      </c>
      <c r="E97" s="59"/>
      <c r="F97" s="108"/>
      <c r="G97" s="59"/>
      <c r="H97" s="59"/>
      <c r="I97" s="14">
        <v>2564.3000000000002</v>
      </c>
      <c r="J97" s="14"/>
      <c r="K97" s="15"/>
    </row>
    <row r="98" spans="1:11" s="22" customFormat="1" ht="15" x14ac:dyDescent="0.2">
      <c r="A98" s="46" t="s">
        <v>103</v>
      </c>
      <c r="B98" s="37"/>
      <c r="C98" s="54"/>
      <c r="D98" s="26">
        <f>D99+D100</f>
        <v>1098.1600000000001</v>
      </c>
      <c r="E98" s="26" t="e">
        <f>E99+#REF!+E100</f>
        <v>#REF!</v>
      </c>
      <c r="F98" s="26" t="e">
        <f>F99+#REF!+F100</f>
        <v>#REF!</v>
      </c>
      <c r="G98" s="26"/>
      <c r="H98" s="26">
        <f>G98/12</f>
        <v>0</v>
      </c>
      <c r="I98" s="14">
        <v>2564.3000000000002</v>
      </c>
      <c r="J98" s="14">
        <v>1.07</v>
      </c>
      <c r="K98" s="15">
        <v>0.12</v>
      </c>
    </row>
    <row r="99" spans="1:11" s="22" customFormat="1" ht="15" x14ac:dyDescent="0.2">
      <c r="A99" s="53" t="s">
        <v>104</v>
      </c>
      <c r="B99" s="37" t="s">
        <v>51</v>
      </c>
      <c r="C99" s="54"/>
      <c r="D99" s="57">
        <v>1098.1600000000001</v>
      </c>
      <c r="E99" s="54"/>
      <c r="F99" s="56"/>
      <c r="G99" s="54"/>
      <c r="H99" s="54"/>
      <c r="I99" s="14">
        <v>3045.4</v>
      </c>
      <c r="J99" s="14">
        <v>1.07</v>
      </c>
      <c r="K99" s="15">
        <v>0.02</v>
      </c>
    </row>
    <row r="100" spans="1:11" s="22" customFormat="1" ht="15" hidden="1" x14ac:dyDescent="0.2">
      <c r="A100" s="53" t="s">
        <v>105</v>
      </c>
      <c r="B100" s="37" t="s">
        <v>51</v>
      </c>
      <c r="C100" s="54"/>
      <c r="D100" s="55"/>
      <c r="E100" s="54"/>
      <c r="F100" s="56"/>
      <c r="G100" s="54"/>
      <c r="H100" s="54"/>
      <c r="I100" s="14">
        <v>3045.4</v>
      </c>
      <c r="J100" s="14">
        <v>1.07</v>
      </c>
      <c r="K100" s="15">
        <v>0.02</v>
      </c>
    </row>
    <row r="101" spans="1:11" s="14" customFormat="1" ht="15" x14ac:dyDescent="0.2">
      <c r="A101" s="46" t="s">
        <v>106</v>
      </c>
      <c r="B101" s="25"/>
      <c r="C101" s="26"/>
      <c r="D101" s="26">
        <f>D102+D103</f>
        <v>19092.560000000001</v>
      </c>
      <c r="E101" s="26">
        <f>E102+E103</f>
        <v>0</v>
      </c>
      <c r="F101" s="26">
        <f>F102+F103</f>
        <v>0</v>
      </c>
      <c r="G101" s="26"/>
      <c r="H101" s="26">
        <f>G101/12</f>
        <v>0</v>
      </c>
      <c r="I101" s="14">
        <v>2564.3000000000002</v>
      </c>
      <c r="J101" s="14">
        <v>1.07</v>
      </c>
      <c r="K101" s="15">
        <v>0.64</v>
      </c>
    </row>
    <row r="102" spans="1:11" s="22" customFormat="1" ht="15" x14ac:dyDescent="0.2">
      <c r="A102" s="53" t="s">
        <v>107</v>
      </c>
      <c r="B102" s="41" t="s">
        <v>53</v>
      </c>
      <c r="C102" s="54"/>
      <c r="D102" s="57">
        <v>11048.16</v>
      </c>
      <c r="E102" s="54"/>
      <c r="F102" s="56"/>
      <c r="G102" s="54"/>
      <c r="H102" s="54"/>
      <c r="I102" s="14">
        <v>2564.3000000000002</v>
      </c>
      <c r="J102" s="14">
        <v>1.07</v>
      </c>
      <c r="K102" s="15">
        <v>0.04</v>
      </c>
    </row>
    <row r="103" spans="1:11" s="22" customFormat="1" ht="15" x14ac:dyDescent="0.2">
      <c r="A103" s="53" t="s">
        <v>134</v>
      </c>
      <c r="B103" s="60" t="s">
        <v>135</v>
      </c>
      <c r="C103" s="54">
        <f>F103*12</f>
        <v>0</v>
      </c>
      <c r="D103" s="57">
        <v>8044.4</v>
      </c>
      <c r="E103" s="54">
        <f>H103*12</f>
        <v>0</v>
      </c>
      <c r="F103" s="56"/>
      <c r="G103" s="54"/>
      <c r="H103" s="54"/>
      <c r="I103" s="14">
        <v>2564.3000000000002</v>
      </c>
      <c r="J103" s="14">
        <v>1.07</v>
      </c>
      <c r="K103" s="15">
        <v>0.6</v>
      </c>
    </row>
    <row r="104" spans="1:11" s="14" customFormat="1" ht="15" x14ac:dyDescent="0.2">
      <c r="A104" s="46" t="s">
        <v>108</v>
      </c>
      <c r="B104" s="25"/>
      <c r="C104" s="26"/>
      <c r="D104" s="26">
        <f>D105+D106</f>
        <v>2196.66</v>
      </c>
      <c r="E104" s="26">
        <f>E105+E106</f>
        <v>0</v>
      </c>
      <c r="F104" s="26">
        <f>F105+F106</f>
        <v>0</v>
      </c>
      <c r="G104" s="26"/>
      <c r="H104" s="26">
        <f>G104/12</f>
        <v>0</v>
      </c>
      <c r="I104" s="14">
        <v>2564.3000000000002</v>
      </c>
      <c r="J104" s="14">
        <v>1.07</v>
      </c>
      <c r="K104" s="15">
        <v>0.05</v>
      </c>
    </row>
    <row r="105" spans="1:11" s="22" customFormat="1" ht="15" x14ac:dyDescent="0.2">
      <c r="A105" s="53" t="s">
        <v>142</v>
      </c>
      <c r="B105" s="37" t="s">
        <v>109</v>
      </c>
      <c r="C105" s="54"/>
      <c r="D105" s="61">
        <v>1220.3399999999999</v>
      </c>
      <c r="E105" s="109"/>
      <c r="F105" s="110"/>
      <c r="G105" s="109"/>
      <c r="H105" s="109"/>
      <c r="I105" s="14">
        <v>2564.3000000000002</v>
      </c>
      <c r="J105" s="14">
        <v>1.07</v>
      </c>
      <c r="K105" s="15">
        <v>0.03</v>
      </c>
    </row>
    <row r="106" spans="1:11" s="22" customFormat="1" ht="15" x14ac:dyDescent="0.2">
      <c r="A106" s="53" t="s">
        <v>110</v>
      </c>
      <c r="B106" s="37" t="s">
        <v>109</v>
      </c>
      <c r="C106" s="54"/>
      <c r="D106" s="57">
        <v>976.32</v>
      </c>
      <c r="E106" s="54"/>
      <c r="F106" s="56"/>
      <c r="G106" s="54"/>
      <c r="H106" s="54"/>
      <c r="I106" s="14">
        <v>2564.3000000000002</v>
      </c>
      <c r="J106" s="14">
        <v>1.07</v>
      </c>
      <c r="K106" s="15">
        <v>0.02</v>
      </c>
    </row>
    <row r="107" spans="1:11" s="22" customFormat="1" ht="25.5" hidden="1" customHeight="1" x14ac:dyDescent="0.2">
      <c r="A107" s="53" t="s">
        <v>111</v>
      </c>
      <c r="B107" s="37" t="s">
        <v>51</v>
      </c>
      <c r="C107" s="54"/>
      <c r="D107" s="55"/>
      <c r="E107" s="54"/>
      <c r="F107" s="56"/>
      <c r="G107" s="54"/>
      <c r="H107" s="54">
        <v>0</v>
      </c>
      <c r="I107" s="14">
        <v>2564.3000000000002</v>
      </c>
      <c r="J107" s="14">
        <v>1.07</v>
      </c>
      <c r="K107" s="15">
        <v>0</v>
      </c>
    </row>
    <row r="108" spans="1:11" s="14" customFormat="1" ht="29.25" hidden="1" customHeight="1" x14ac:dyDescent="0.2">
      <c r="A108" s="69" t="s">
        <v>112</v>
      </c>
      <c r="B108" s="60"/>
      <c r="C108" s="52"/>
      <c r="D108" s="52">
        <f>G108*I108</f>
        <v>0</v>
      </c>
      <c r="E108" s="52"/>
      <c r="F108" s="70"/>
      <c r="G108" s="52">
        <f>H108*12</f>
        <v>0</v>
      </c>
      <c r="H108" s="52">
        <v>0</v>
      </c>
      <c r="I108" s="14">
        <v>2564.3000000000002</v>
      </c>
      <c r="J108" s="15"/>
    </row>
    <row r="109" spans="1:11" s="14" customFormat="1" ht="38.25" thickBot="1" x14ac:dyDescent="0.25">
      <c r="A109" s="69" t="s">
        <v>158</v>
      </c>
      <c r="B109" s="25" t="s">
        <v>28</v>
      </c>
      <c r="C109" s="52">
        <f>F109*12</f>
        <v>0</v>
      </c>
      <c r="D109" s="52">
        <f>G109*I109</f>
        <v>17847.53</v>
      </c>
      <c r="E109" s="52">
        <f>H109*12</f>
        <v>6.96</v>
      </c>
      <c r="F109" s="70"/>
      <c r="G109" s="52">
        <f>H109*12</f>
        <v>6.96</v>
      </c>
      <c r="H109" s="52">
        <v>0.57999999999999996</v>
      </c>
      <c r="I109" s="14">
        <v>2564.3000000000002</v>
      </c>
      <c r="J109" s="14">
        <v>1.07</v>
      </c>
      <c r="K109" s="15">
        <v>0.3</v>
      </c>
    </row>
    <row r="110" spans="1:11" s="14" customFormat="1" ht="19.5" hidden="1" thickBot="1" x14ac:dyDescent="0.25">
      <c r="A110" s="71" t="s">
        <v>113</v>
      </c>
      <c r="B110" s="25"/>
      <c r="C110" s="50" t="e">
        <f>F110*12</f>
        <v>#REF!</v>
      </c>
      <c r="D110" s="50">
        <f>SUM(D111:D117)</f>
        <v>0</v>
      </c>
      <c r="E110" s="50">
        <f>H110*12</f>
        <v>0</v>
      </c>
      <c r="F110" s="50" t="e">
        <f>#REF!+#REF!+#REF!+#REF!+#REF!+#REF!+#REF!+#REF!+#REF!+#REF!</f>
        <v>#REF!</v>
      </c>
      <c r="G110" s="50">
        <f>G111+G112+G113+G114+G115+G116+G117</f>
        <v>0</v>
      </c>
      <c r="H110" s="50">
        <f>SUM(H111:H117)</f>
        <v>0</v>
      </c>
      <c r="I110" s="14">
        <v>2564.3000000000002</v>
      </c>
      <c r="K110" s="15"/>
    </row>
    <row r="111" spans="1:11" s="14" customFormat="1" ht="15.75" hidden="1" thickBot="1" x14ac:dyDescent="0.25">
      <c r="A111" s="72" t="s">
        <v>114</v>
      </c>
      <c r="B111" s="73"/>
      <c r="C111" s="74"/>
      <c r="D111" s="50"/>
      <c r="E111" s="50"/>
      <c r="F111" s="50"/>
      <c r="G111" s="50"/>
      <c r="H111" s="74"/>
      <c r="I111" s="14">
        <v>2564.3000000000002</v>
      </c>
      <c r="K111" s="15"/>
    </row>
    <row r="112" spans="1:11" s="14" customFormat="1" ht="15.75" hidden="1" thickBot="1" x14ac:dyDescent="0.25">
      <c r="A112" s="72" t="s">
        <v>115</v>
      </c>
      <c r="B112" s="73"/>
      <c r="C112" s="74"/>
      <c r="D112" s="50"/>
      <c r="E112" s="50"/>
      <c r="F112" s="50"/>
      <c r="G112" s="50"/>
      <c r="H112" s="74"/>
      <c r="I112" s="14">
        <v>2564.3000000000002</v>
      </c>
      <c r="K112" s="15"/>
    </row>
    <row r="113" spans="1:11" s="14" customFormat="1" ht="15.75" hidden="1" thickBot="1" x14ac:dyDescent="0.25">
      <c r="A113" s="72" t="s">
        <v>116</v>
      </c>
      <c r="B113" s="73"/>
      <c r="C113" s="74"/>
      <c r="D113" s="50"/>
      <c r="E113" s="50"/>
      <c r="F113" s="50"/>
      <c r="G113" s="50"/>
      <c r="H113" s="74"/>
      <c r="I113" s="14">
        <v>2564.3000000000002</v>
      </c>
      <c r="K113" s="15"/>
    </row>
    <row r="114" spans="1:11" s="14" customFormat="1" ht="15.75" hidden="1" thickBot="1" x14ac:dyDescent="0.25">
      <c r="A114" s="72" t="s">
        <v>117</v>
      </c>
      <c r="B114" s="73"/>
      <c r="C114" s="74"/>
      <c r="D114" s="50"/>
      <c r="E114" s="50"/>
      <c r="F114" s="50"/>
      <c r="G114" s="50"/>
      <c r="H114" s="74"/>
      <c r="I114" s="14">
        <v>2564.3000000000002</v>
      </c>
      <c r="K114" s="15"/>
    </row>
    <row r="115" spans="1:11" s="14" customFormat="1" ht="15.75" hidden="1" thickBot="1" x14ac:dyDescent="0.25">
      <c r="A115" s="72" t="s">
        <v>118</v>
      </c>
      <c r="B115" s="73"/>
      <c r="C115" s="74"/>
      <c r="D115" s="50"/>
      <c r="E115" s="50"/>
      <c r="F115" s="50"/>
      <c r="G115" s="50"/>
      <c r="H115" s="74"/>
      <c r="I115" s="14">
        <v>2564.3000000000002</v>
      </c>
      <c r="K115" s="15"/>
    </row>
    <row r="116" spans="1:11" s="14" customFormat="1" ht="15.75" hidden="1" thickBot="1" x14ac:dyDescent="0.25">
      <c r="A116" s="72" t="s">
        <v>119</v>
      </c>
      <c r="B116" s="73"/>
      <c r="C116" s="74"/>
      <c r="D116" s="50"/>
      <c r="E116" s="50"/>
      <c r="F116" s="50"/>
      <c r="G116" s="50"/>
      <c r="H116" s="74"/>
      <c r="I116" s="14">
        <v>2564.3000000000002</v>
      </c>
      <c r="K116" s="15"/>
    </row>
    <row r="117" spans="1:11" s="14" customFormat="1" ht="15.75" hidden="1" thickBot="1" x14ac:dyDescent="0.25">
      <c r="A117" s="75" t="s">
        <v>120</v>
      </c>
      <c r="B117" s="76"/>
      <c r="C117" s="77"/>
      <c r="D117" s="52"/>
      <c r="E117" s="52"/>
      <c r="F117" s="52"/>
      <c r="G117" s="52"/>
      <c r="H117" s="77"/>
      <c r="I117" s="14">
        <v>2564.3000000000002</v>
      </c>
      <c r="K117" s="15"/>
    </row>
    <row r="118" spans="1:11" s="14" customFormat="1" ht="26.25" hidden="1" thickBot="1" x14ac:dyDescent="0.25">
      <c r="A118" s="78" t="s">
        <v>121</v>
      </c>
      <c r="B118" s="60" t="s">
        <v>122</v>
      </c>
      <c r="C118" s="79"/>
      <c r="D118" s="52"/>
      <c r="E118" s="52"/>
      <c r="F118" s="70"/>
      <c r="G118" s="52"/>
      <c r="H118" s="52"/>
      <c r="I118" s="14">
        <v>2564.3000000000002</v>
      </c>
      <c r="K118" s="15"/>
    </row>
    <row r="119" spans="1:11" s="14" customFormat="1" ht="30.75" thickBot="1" x14ac:dyDescent="0.25">
      <c r="A119" s="78" t="s">
        <v>121</v>
      </c>
      <c r="B119" s="118" t="s">
        <v>159</v>
      </c>
      <c r="C119" s="119"/>
      <c r="D119" s="52">
        <v>45800</v>
      </c>
      <c r="E119" s="52"/>
      <c r="F119" s="117"/>
      <c r="G119" s="52">
        <f>D119/I119</f>
        <v>17.86</v>
      </c>
      <c r="H119" s="52">
        <f>G119/12</f>
        <v>1.49</v>
      </c>
      <c r="I119" s="14">
        <v>2564.3000000000002</v>
      </c>
      <c r="K119" s="15"/>
    </row>
    <row r="120" spans="1:11" s="14" customFormat="1" ht="19.5" thickBot="1" x14ac:dyDescent="0.25">
      <c r="A120" s="80" t="s">
        <v>123</v>
      </c>
      <c r="B120" s="81" t="s">
        <v>22</v>
      </c>
      <c r="C120" s="79"/>
      <c r="D120" s="50">
        <f>G120*I120</f>
        <v>43309.51</v>
      </c>
      <c r="E120" s="50"/>
      <c r="F120" s="50"/>
      <c r="G120" s="50">
        <f>12*H120</f>
        <v>20.76</v>
      </c>
      <c r="H120" s="50">
        <v>1.73</v>
      </c>
      <c r="I120" s="14">
        <f>2564.3-478.1</f>
        <v>2086.1999999999998</v>
      </c>
      <c r="K120" s="15"/>
    </row>
    <row r="121" spans="1:11" s="14" customFormat="1" ht="20.25" thickBot="1" x14ac:dyDescent="0.45">
      <c r="A121" s="82" t="s">
        <v>124</v>
      </c>
      <c r="B121" s="83"/>
      <c r="C121" s="84" t="e">
        <f>F121*12</f>
        <v>#REF!</v>
      </c>
      <c r="D121" s="85">
        <f>D119+D109+D104+D101+D98+D87+D85+D74+D59+D58+D57+D56+D55+D51+D50+D49+D48+D42+D41+D35+D34+D33+D24+D14+D120</f>
        <v>779720.2</v>
      </c>
      <c r="E121" s="85" t="e">
        <f>E14+E24+E33+E34+E35+E42+E48+E49+E50+E51+E55+E56+E57+E58+E59+E74+E85+E87+E98+E101+E104+E109</f>
        <v>#REF!</v>
      </c>
      <c r="F121" s="85" t="e">
        <f>F14+F24+F33+F34+F35+F42+F48+F49+F50+F51+F55+F56+F57+F58+F59+F74+F85+F87+F98+F101+F104+F109</f>
        <v>#REF!</v>
      </c>
      <c r="G121" s="85"/>
      <c r="H121" s="85"/>
      <c r="I121" s="14">
        <v>2564.3000000000002</v>
      </c>
      <c r="K121" s="15"/>
    </row>
    <row r="122" spans="1:11" s="90" customFormat="1" ht="20.25" hidden="1" thickBot="1" x14ac:dyDescent="0.25">
      <c r="A122" s="86" t="s">
        <v>125</v>
      </c>
      <c r="B122" s="87" t="s">
        <v>22</v>
      </c>
      <c r="C122" s="87" t="s">
        <v>126</v>
      </c>
      <c r="D122" s="88"/>
      <c r="E122" s="87" t="s">
        <v>126</v>
      </c>
      <c r="F122" s="89"/>
      <c r="G122" s="87" t="s">
        <v>126</v>
      </c>
      <c r="H122" s="89">
        <v>24.94</v>
      </c>
      <c r="K122" s="91"/>
    </row>
    <row r="123" spans="1:11" s="93" customFormat="1" x14ac:dyDescent="0.2">
      <c r="A123" s="92"/>
      <c r="K123" s="94"/>
    </row>
    <row r="124" spans="1:11" s="98" customFormat="1" ht="19.5" thickBot="1" x14ac:dyDescent="0.45">
      <c r="A124" s="95"/>
      <c r="B124" s="96"/>
      <c r="C124" s="97"/>
      <c r="D124" s="97"/>
      <c r="E124" s="97"/>
      <c r="F124" s="97"/>
      <c r="G124" s="97"/>
      <c r="H124" s="97"/>
      <c r="K124" s="99"/>
    </row>
    <row r="125" spans="1:11" s="98" customFormat="1" ht="30.75" thickBot="1" x14ac:dyDescent="0.45">
      <c r="A125" s="78" t="s">
        <v>127</v>
      </c>
      <c r="B125" s="83"/>
      <c r="C125" s="84">
        <f>F125*12</f>
        <v>0</v>
      </c>
      <c r="D125" s="84">
        <f>D128+D129+D133+D134+D135+D136+D137+D138+D139+D140+D143</f>
        <v>856152.61</v>
      </c>
      <c r="E125" s="84">
        <f t="shared" ref="E125:H125" si="11">E128+E129+E133+E134+E135+E136+E137+E138+E139+E140+E143</f>
        <v>0</v>
      </c>
      <c r="F125" s="84">
        <f t="shared" si="11"/>
        <v>0</v>
      </c>
      <c r="G125" s="84">
        <f t="shared" si="11"/>
        <v>324.92</v>
      </c>
      <c r="H125" s="84">
        <f t="shared" si="11"/>
        <v>27.08</v>
      </c>
      <c r="I125" s="14">
        <v>2564.3000000000002</v>
      </c>
      <c r="K125" s="99"/>
    </row>
    <row r="126" spans="1:11" s="22" customFormat="1" ht="15" hidden="1" x14ac:dyDescent="0.2">
      <c r="A126" s="53"/>
      <c r="B126" s="37"/>
      <c r="C126" s="54"/>
      <c r="D126" s="55"/>
      <c r="E126" s="54"/>
      <c r="F126" s="56"/>
      <c r="G126" s="54"/>
      <c r="H126" s="54"/>
      <c r="I126" s="14"/>
      <c r="J126" s="14"/>
      <c r="K126" s="15"/>
    </row>
    <row r="127" spans="1:11" s="22" customFormat="1" ht="15" hidden="1" x14ac:dyDescent="0.2">
      <c r="A127" s="53"/>
      <c r="B127" s="37"/>
      <c r="C127" s="54"/>
      <c r="D127" s="55"/>
      <c r="E127" s="54"/>
      <c r="F127" s="56"/>
      <c r="G127" s="54"/>
      <c r="H127" s="54"/>
      <c r="I127" s="14"/>
      <c r="J127" s="14"/>
      <c r="K127" s="15"/>
    </row>
    <row r="128" spans="1:11" s="22" customFormat="1" ht="25.5" x14ac:dyDescent="0.2">
      <c r="A128" s="111" t="s">
        <v>163</v>
      </c>
      <c r="B128" s="37"/>
      <c r="C128" s="54"/>
      <c r="D128" s="57">
        <v>536918.12</v>
      </c>
      <c r="E128" s="54"/>
      <c r="F128" s="56"/>
      <c r="G128" s="54">
        <f>D128/I128</f>
        <v>209.38</v>
      </c>
      <c r="H128" s="54">
        <f>G128/12</f>
        <v>17.45</v>
      </c>
      <c r="I128" s="14">
        <v>2564.3000000000002</v>
      </c>
      <c r="J128" s="14"/>
      <c r="K128" s="15"/>
    </row>
    <row r="129" spans="1:14" s="22" customFormat="1" ht="25.5" x14ac:dyDescent="0.2">
      <c r="A129" s="111" t="s">
        <v>145</v>
      </c>
      <c r="B129" s="37"/>
      <c r="C129" s="54"/>
      <c r="D129" s="57">
        <v>44202.44</v>
      </c>
      <c r="E129" s="54"/>
      <c r="F129" s="56"/>
      <c r="G129" s="54">
        <f t="shared" ref="G129:G148" si="12">D129/I129</f>
        <v>17.239999999999998</v>
      </c>
      <c r="H129" s="54">
        <f t="shared" ref="H129:H148" si="13">G129/12</f>
        <v>1.44</v>
      </c>
      <c r="I129" s="14">
        <v>2564.3000000000002</v>
      </c>
      <c r="J129" s="14"/>
      <c r="K129" s="15"/>
    </row>
    <row r="130" spans="1:14" s="22" customFormat="1" ht="15" hidden="1" x14ac:dyDescent="0.2">
      <c r="A130" s="111" t="s">
        <v>146</v>
      </c>
      <c r="B130" s="37"/>
      <c r="C130" s="54"/>
      <c r="D130" s="55"/>
      <c r="E130" s="54"/>
      <c r="F130" s="56"/>
      <c r="G130" s="54" t="e">
        <f t="shared" si="12"/>
        <v>#DIV/0!</v>
      </c>
      <c r="H130" s="54" t="e">
        <f t="shared" si="13"/>
        <v>#DIV/0!</v>
      </c>
      <c r="I130" s="14"/>
      <c r="J130" s="14"/>
      <c r="K130" s="15"/>
    </row>
    <row r="131" spans="1:14" s="22" customFormat="1" ht="15" hidden="1" x14ac:dyDescent="0.2">
      <c r="A131" s="111" t="s">
        <v>147</v>
      </c>
      <c r="B131" s="37"/>
      <c r="C131" s="54"/>
      <c r="D131" s="55"/>
      <c r="E131" s="54"/>
      <c r="F131" s="56"/>
      <c r="G131" s="54" t="e">
        <f t="shared" si="12"/>
        <v>#DIV/0!</v>
      </c>
      <c r="H131" s="54" t="e">
        <f t="shared" si="13"/>
        <v>#DIV/0!</v>
      </c>
      <c r="I131" s="14"/>
      <c r="J131" s="14"/>
      <c r="K131" s="15"/>
    </row>
    <row r="132" spans="1:14" s="22" customFormat="1" ht="25.5" hidden="1" x14ac:dyDescent="0.2">
      <c r="A132" s="113" t="s">
        <v>148</v>
      </c>
      <c r="B132" s="37"/>
      <c r="C132" s="54"/>
      <c r="D132" s="55"/>
      <c r="E132" s="54"/>
      <c r="F132" s="56"/>
      <c r="G132" s="54" t="e">
        <f t="shared" si="12"/>
        <v>#DIV/0!</v>
      </c>
      <c r="H132" s="54" t="e">
        <f t="shared" si="13"/>
        <v>#DIV/0!</v>
      </c>
      <c r="I132" s="14"/>
      <c r="J132" s="14"/>
      <c r="K132" s="15"/>
    </row>
    <row r="133" spans="1:14" s="22" customFormat="1" ht="15" x14ac:dyDescent="0.2">
      <c r="A133" s="111" t="s">
        <v>146</v>
      </c>
      <c r="B133" s="112"/>
      <c r="C133" s="58"/>
      <c r="D133" s="57">
        <v>129620.19</v>
      </c>
      <c r="E133" s="54"/>
      <c r="F133" s="56"/>
      <c r="G133" s="54">
        <f t="shared" si="12"/>
        <v>50.55</v>
      </c>
      <c r="H133" s="54">
        <f t="shared" si="13"/>
        <v>4.21</v>
      </c>
      <c r="I133" s="14">
        <v>2564.3000000000002</v>
      </c>
      <c r="J133" s="14"/>
      <c r="K133" s="15"/>
    </row>
    <row r="134" spans="1:14" s="22" customFormat="1" ht="15" x14ac:dyDescent="0.2">
      <c r="A134" s="111" t="s">
        <v>147</v>
      </c>
      <c r="B134" s="112"/>
      <c r="C134" s="58"/>
      <c r="D134" s="57">
        <v>79282.06</v>
      </c>
      <c r="E134" s="54"/>
      <c r="F134" s="56"/>
      <c r="G134" s="54">
        <f t="shared" si="12"/>
        <v>26.03</v>
      </c>
      <c r="H134" s="54">
        <f t="shared" si="13"/>
        <v>2.17</v>
      </c>
      <c r="I134" s="14">
        <v>3045.4</v>
      </c>
      <c r="J134" s="14"/>
      <c r="K134" s="15"/>
    </row>
    <row r="135" spans="1:14" s="22" customFormat="1" ht="15" x14ac:dyDescent="0.2">
      <c r="A135" s="113" t="s">
        <v>149</v>
      </c>
      <c r="B135" s="37"/>
      <c r="C135" s="54"/>
      <c r="D135" s="57">
        <v>10000.39</v>
      </c>
      <c r="E135" s="54"/>
      <c r="F135" s="56"/>
      <c r="G135" s="54">
        <f t="shared" si="12"/>
        <v>3.28</v>
      </c>
      <c r="H135" s="54">
        <f t="shared" si="13"/>
        <v>0.27</v>
      </c>
      <c r="I135" s="14">
        <v>3045.4</v>
      </c>
      <c r="J135" s="14"/>
      <c r="K135" s="15"/>
    </row>
    <row r="136" spans="1:14" s="22" customFormat="1" ht="15" x14ac:dyDescent="0.2">
      <c r="A136" s="113" t="s">
        <v>150</v>
      </c>
      <c r="B136" s="37"/>
      <c r="C136" s="54"/>
      <c r="D136" s="57">
        <v>10987.26</v>
      </c>
      <c r="E136" s="54"/>
      <c r="F136" s="56"/>
      <c r="G136" s="54">
        <f t="shared" si="12"/>
        <v>3.61</v>
      </c>
      <c r="H136" s="54">
        <f t="shared" si="13"/>
        <v>0.3</v>
      </c>
      <c r="I136" s="14">
        <v>3045.4</v>
      </c>
      <c r="J136" s="14"/>
      <c r="K136" s="15"/>
    </row>
    <row r="137" spans="1:14" s="22" customFormat="1" ht="15" x14ac:dyDescent="0.2">
      <c r="A137" s="113" t="s">
        <v>151</v>
      </c>
      <c r="B137" s="37"/>
      <c r="C137" s="54"/>
      <c r="D137" s="57">
        <v>2268.69</v>
      </c>
      <c r="E137" s="54"/>
      <c r="F137" s="56"/>
      <c r="G137" s="54">
        <f t="shared" si="12"/>
        <v>0.74</v>
      </c>
      <c r="H137" s="54">
        <f t="shared" si="13"/>
        <v>0.06</v>
      </c>
      <c r="I137" s="14">
        <v>3045.4</v>
      </c>
      <c r="J137" s="14"/>
      <c r="K137" s="15"/>
    </row>
    <row r="138" spans="1:14" s="22" customFormat="1" ht="15" x14ac:dyDescent="0.2">
      <c r="A138" s="113" t="s">
        <v>152</v>
      </c>
      <c r="B138" s="37"/>
      <c r="C138" s="54"/>
      <c r="D138" s="57">
        <v>3218.1</v>
      </c>
      <c r="E138" s="54"/>
      <c r="F138" s="56"/>
      <c r="G138" s="54">
        <f t="shared" si="12"/>
        <v>1.06</v>
      </c>
      <c r="H138" s="54">
        <f t="shared" si="13"/>
        <v>0.09</v>
      </c>
      <c r="I138" s="14">
        <v>3045.4</v>
      </c>
      <c r="J138" s="14"/>
      <c r="K138" s="15"/>
    </row>
    <row r="139" spans="1:14" s="22" customFormat="1" ht="25.5" x14ac:dyDescent="0.2">
      <c r="A139" s="113" t="s">
        <v>153</v>
      </c>
      <c r="B139" s="37"/>
      <c r="C139" s="54"/>
      <c r="D139" s="57">
        <v>26511.09</v>
      </c>
      <c r="E139" s="54"/>
      <c r="F139" s="56"/>
      <c r="G139" s="54">
        <f t="shared" si="12"/>
        <v>8.7100000000000009</v>
      </c>
      <c r="H139" s="54">
        <f t="shared" si="13"/>
        <v>0.73</v>
      </c>
      <c r="I139" s="14">
        <v>3045.4</v>
      </c>
      <c r="J139" s="14"/>
      <c r="K139" s="15"/>
      <c r="M139" s="23"/>
      <c r="N139" s="23"/>
    </row>
    <row r="140" spans="1:14" s="22" customFormat="1" ht="22.5" customHeight="1" x14ac:dyDescent="0.2">
      <c r="A140" s="113" t="s">
        <v>154</v>
      </c>
      <c r="B140" s="37"/>
      <c r="C140" s="54"/>
      <c r="D140" s="57">
        <v>722.42</v>
      </c>
      <c r="E140" s="54"/>
      <c r="F140" s="56"/>
      <c r="G140" s="54">
        <f t="shared" si="12"/>
        <v>0.24</v>
      </c>
      <c r="H140" s="54">
        <f t="shared" si="13"/>
        <v>0.02</v>
      </c>
      <c r="I140" s="14">
        <v>3045.4</v>
      </c>
      <c r="J140" s="14"/>
      <c r="K140" s="15"/>
    </row>
    <row r="141" spans="1:14" s="22" customFormat="1" ht="15" hidden="1" x14ac:dyDescent="0.2">
      <c r="A141" s="113" t="s">
        <v>128</v>
      </c>
      <c r="B141" s="37"/>
      <c r="C141" s="54"/>
      <c r="D141" s="55"/>
      <c r="E141" s="54"/>
      <c r="F141" s="56"/>
      <c r="G141" s="54">
        <f t="shared" si="12"/>
        <v>0</v>
      </c>
      <c r="H141" s="54">
        <f t="shared" si="13"/>
        <v>0</v>
      </c>
      <c r="I141" s="14">
        <v>3045.4</v>
      </c>
      <c r="J141" s="14"/>
      <c r="K141" s="15"/>
    </row>
    <row r="142" spans="1:14" s="22" customFormat="1" ht="15" hidden="1" x14ac:dyDescent="0.2">
      <c r="A142" s="53"/>
      <c r="B142" s="37"/>
      <c r="C142" s="54"/>
      <c r="D142" s="55"/>
      <c r="E142" s="54"/>
      <c r="F142" s="56"/>
      <c r="G142" s="54">
        <f t="shared" si="12"/>
        <v>0</v>
      </c>
      <c r="H142" s="54">
        <f t="shared" si="13"/>
        <v>0</v>
      </c>
      <c r="I142" s="14">
        <v>3045.4</v>
      </c>
      <c r="J142" s="14"/>
      <c r="K142" s="15"/>
    </row>
    <row r="143" spans="1:14" s="22" customFormat="1" ht="15" x14ac:dyDescent="0.2">
      <c r="A143" s="111" t="s">
        <v>128</v>
      </c>
      <c r="B143" s="37"/>
      <c r="C143" s="54"/>
      <c r="D143" s="57">
        <v>12421.85</v>
      </c>
      <c r="E143" s="54"/>
      <c r="F143" s="56"/>
      <c r="G143" s="54">
        <f t="shared" si="12"/>
        <v>4.08</v>
      </c>
      <c r="H143" s="54">
        <f t="shared" si="13"/>
        <v>0.34</v>
      </c>
      <c r="I143" s="14">
        <v>3045.4</v>
      </c>
      <c r="J143" s="14"/>
      <c r="K143" s="15"/>
    </row>
    <row r="144" spans="1:14" s="22" customFormat="1" ht="15" hidden="1" x14ac:dyDescent="0.2">
      <c r="A144" s="53"/>
      <c r="B144" s="37"/>
      <c r="C144" s="54"/>
      <c r="D144" s="57"/>
      <c r="E144" s="54"/>
      <c r="F144" s="56"/>
      <c r="G144" s="54">
        <f t="shared" si="12"/>
        <v>0</v>
      </c>
      <c r="H144" s="54">
        <f t="shared" si="13"/>
        <v>0</v>
      </c>
      <c r="I144" s="14">
        <v>3045.4</v>
      </c>
      <c r="J144" s="14"/>
      <c r="K144" s="15"/>
    </row>
    <row r="145" spans="1:11" s="22" customFormat="1" ht="15" hidden="1" x14ac:dyDescent="0.2">
      <c r="A145" s="53"/>
      <c r="B145" s="37"/>
      <c r="C145" s="54"/>
      <c r="D145" s="57"/>
      <c r="E145" s="54"/>
      <c r="F145" s="56"/>
      <c r="G145" s="54">
        <f t="shared" si="12"/>
        <v>0</v>
      </c>
      <c r="H145" s="54">
        <f t="shared" si="13"/>
        <v>0</v>
      </c>
      <c r="I145" s="14">
        <v>2564.3000000000002</v>
      </c>
      <c r="J145" s="14"/>
      <c r="K145" s="15"/>
    </row>
    <row r="146" spans="1:11" s="22" customFormat="1" ht="15" hidden="1" x14ac:dyDescent="0.2">
      <c r="A146" s="53"/>
      <c r="B146" s="37"/>
      <c r="C146" s="54"/>
      <c r="D146" s="57"/>
      <c r="E146" s="54"/>
      <c r="F146" s="56"/>
      <c r="G146" s="54">
        <f t="shared" si="12"/>
        <v>0</v>
      </c>
      <c r="H146" s="54">
        <f t="shared" si="13"/>
        <v>0</v>
      </c>
      <c r="I146" s="14">
        <v>3045.4</v>
      </c>
      <c r="J146" s="14"/>
      <c r="K146" s="15"/>
    </row>
    <row r="147" spans="1:11" s="22" customFormat="1" ht="16.5" hidden="1" customHeight="1" x14ac:dyDescent="0.2">
      <c r="A147" s="53"/>
      <c r="B147" s="37"/>
      <c r="C147" s="54"/>
      <c r="D147" s="57"/>
      <c r="E147" s="54"/>
      <c r="F147" s="56"/>
      <c r="G147" s="54">
        <f t="shared" si="12"/>
        <v>0</v>
      </c>
      <c r="H147" s="54">
        <f t="shared" si="13"/>
        <v>0</v>
      </c>
      <c r="I147" s="14">
        <v>3045.4</v>
      </c>
      <c r="J147" s="14"/>
      <c r="K147" s="15"/>
    </row>
    <row r="148" spans="1:11" s="22" customFormat="1" ht="16.5" hidden="1" customHeight="1" x14ac:dyDescent="0.2">
      <c r="A148" s="100"/>
      <c r="B148" s="37"/>
      <c r="C148" s="54"/>
      <c r="D148" s="58"/>
      <c r="E148" s="54"/>
      <c r="F148" s="54"/>
      <c r="G148" s="54">
        <f t="shared" si="12"/>
        <v>0</v>
      </c>
      <c r="H148" s="54">
        <f t="shared" si="13"/>
        <v>0</v>
      </c>
      <c r="I148" s="14">
        <v>3045.4</v>
      </c>
      <c r="J148" s="14"/>
      <c r="K148" s="15"/>
    </row>
    <row r="149" spans="1:11" s="98" customFormat="1" ht="19.5" thickBot="1" x14ac:dyDescent="0.45">
      <c r="A149" s="95"/>
      <c r="B149" s="96"/>
      <c r="C149" s="97"/>
      <c r="D149" s="97"/>
      <c r="E149" s="97"/>
      <c r="F149" s="97"/>
      <c r="G149" s="97"/>
      <c r="H149" s="97"/>
      <c r="K149" s="99"/>
    </row>
    <row r="150" spans="1:11" s="98" customFormat="1" ht="20.25" thickBot="1" x14ac:dyDescent="0.45">
      <c r="A150" s="82" t="s">
        <v>129</v>
      </c>
      <c r="B150" s="101"/>
      <c r="C150" s="101"/>
      <c r="D150" s="102">
        <f>D121+D125</f>
        <v>1635872.81</v>
      </c>
      <c r="E150" s="102" t="e">
        <f>E121+E125</f>
        <v>#REF!</v>
      </c>
      <c r="F150" s="102" t="e">
        <f>F121+F125</f>
        <v>#REF!</v>
      </c>
      <c r="G150" s="102">
        <f>G121+G125</f>
        <v>324.92</v>
      </c>
      <c r="H150" s="102">
        <f>H121+H125</f>
        <v>27.08</v>
      </c>
      <c r="K150" s="99"/>
    </row>
    <row r="151" spans="1:11" s="98" customFormat="1" ht="19.5" x14ac:dyDescent="0.4">
      <c r="A151" s="103"/>
      <c r="B151" s="104"/>
      <c r="C151" s="104"/>
      <c r="D151" s="105"/>
      <c r="E151" s="104"/>
      <c r="F151" s="104"/>
      <c r="G151" s="105"/>
      <c r="H151" s="105"/>
      <c r="K151" s="99"/>
    </row>
    <row r="152" spans="1:11" s="98" customFormat="1" ht="19.5" x14ac:dyDescent="0.4">
      <c r="A152" s="103"/>
      <c r="B152" s="104"/>
      <c r="C152" s="104"/>
      <c r="D152" s="105"/>
      <c r="E152" s="104"/>
      <c r="F152" s="104"/>
      <c r="G152" s="105"/>
      <c r="H152" s="105"/>
      <c r="K152" s="99"/>
    </row>
    <row r="153" spans="1:11" s="98" customFormat="1" ht="19.5" x14ac:dyDescent="0.4">
      <c r="A153" s="103"/>
      <c r="B153" s="104"/>
      <c r="C153" s="104"/>
      <c r="D153" s="105"/>
      <c r="E153" s="104"/>
      <c r="F153" s="104"/>
      <c r="G153" s="105"/>
      <c r="H153" s="105"/>
      <c r="K153" s="99"/>
    </row>
    <row r="154" spans="1:11" s="90" customFormat="1" ht="19.5" x14ac:dyDescent="0.2">
      <c r="A154" s="106"/>
      <c r="B154" s="104"/>
      <c r="C154" s="105"/>
      <c r="D154" s="105"/>
      <c r="E154" s="105"/>
      <c r="F154" s="105"/>
      <c r="G154" s="105"/>
      <c r="H154" s="105"/>
      <c r="K154" s="91"/>
    </row>
    <row r="155" spans="1:11" s="93" customFormat="1" ht="14.25" x14ac:dyDescent="0.2">
      <c r="A155" s="142" t="s">
        <v>130</v>
      </c>
      <c r="B155" s="142"/>
      <c r="C155" s="142"/>
      <c r="D155" s="142"/>
      <c r="E155" s="142"/>
      <c r="F155" s="142"/>
      <c r="K155" s="94"/>
    </row>
    <row r="156" spans="1:11" s="93" customFormat="1" x14ac:dyDescent="0.2">
      <c r="K156" s="94"/>
    </row>
    <row r="157" spans="1:11" s="93" customFormat="1" x14ac:dyDescent="0.2">
      <c r="A157" s="92" t="s">
        <v>131</v>
      </c>
      <c r="K157" s="94"/>
    </row>
    <row r="158" spans="1:11" s="93" customFormat="1" x14ac:dyDescent="0.2">
      <c r="K158" s="94"/>
    </row>
    <row r="159" spans="1:11" s="93" customFormat="1" x14ac:dyDescent="0.2">
      <c r="K159" s="94"/>
    </row>
    <row r="160" spans="1:11" s="93" customFormat="1" x14ac:dyDescent="0.2">
      <c r="K160" s="94"/>
    </row>
    <row r="161" spans="11:11" s="93" customFormat="1" x14ac:dyDescent="0.2">
      <c r="K161" s="94"/>
    </row>
    <row r="162" spans="11:11" s="93" customFormat="1" x14ac:dyDescent="0.2">
      <c r="K162" s="94"/>
    </row>
    <row r="163" spans="11:11" s="93" customFormat="1" x14ac:dyDescent="0.2">
      <c r="K163" s="94"/>
    </row>
    <row r="164" spans="11:11" s="93" customFormat="1" x14ac:dyDescent="0.2">
      <c r="K164" s="94"/>
    </row>
    <row r="165" spans="11:11" s="93" customFormat="1" x14ac:dyDescent="0.2">
      <c r="K165" s="94"/>
    </row>
    <row r="166" spans="11:11" s="93" customFormat="1" x14ac:dyDescent="0.2">
      <c r="K166" s="94"/>
    </row>
    <row r="167" spans="11:11" s="93" customFormat="1" x14ac:dyDescent="0.2">
      <c r="K167" s="94"/>
    </row>
    <row r="168" spans="11:11" s="93" customFormat="1" x14ac:dyDescent="0.2">
      <c r="K168" s="94"/>
    </row>
    <row r="169" spans="11:11" s="93" customFormat="1" x14ac:dyDescent="0.2">
      <c r="K169" s="94"/>
    </row>
    <row r="170" spans="11:11" s="93" customFormat="1" x14ac:dyDescent="0.2">
      <c r="K170" s="94"/>
    </row>
    <row r="171" spans="11:11" s="93" customFormat="1" x14ac:dyDescent="0.2">
      <c r="K171" s="94"/>
    </row>
    <row r="172" spans="11:11" s="93" customFormat="1" x14ac:dyDescent="0.2">
      <c r="K172" s="94"/>
    </row>
    <row r="173" spans="11:11" s="93" customFormat="1" x14ac:dyDescent="0.2">
      <c r="K173" s="94"/>
    </row>
    <row r="174" spans="11:11" s="93" customFormat="1" x14ac:dyDescent="0.2">
      <c r="K174" s="94"/>
    </row>
    <row r="175" spans="11:11" s="93" customFormat="1" x14ac:dyDescent="0.2">
      <c r="K175" s="94"/>
    </row>
  </sheetData>
  <mergeCells count="11">
    <mergeCell ref="A7:H7"/>
    <mergeCell ref="A1:H1"/>
    <mergeCell ref="B2:H2"/>
    <mergeCell ref="B3:H3"/>
    <mergeCell ref="B5:H5"/>
    <mergeCell ref="A6:H6"/>
    <mergeCell ref="A8:H8"/>
    <mergeCell ref="A9:H9"/>
    <mergeCell ref="A10:H10"/>
    <mergeCell ref="A13:H13"/>
    <mergeCell ref="A155:F155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opLeftCell="A56" zoomScale="75" workbookViewId="0">
      <selection activeCell="D76" sqref="D7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140625" style="1" customWidth="1"/>
    <col min="5" max="5" width="13.85546875" style="1" hidden="1" customWidth="1"/>
    <col min="6" max="6" width="20.85546875" style="1" hidden="1" customWidth="1"/>
    <col min="7" max="7" width="15.71093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1" ht="16.5" customHeight="1" x14ac:dyDescent="0.2">
      <c r="A1" s="143" t="s">
        <v>0</v>
      </c>
      <c r="B1" s="144"/>
      <c r="C1" s="144"/>
      <c r="D1" s="144"/>
      <c r="E1" s="144"/>
      <c r="F1" s="144"/>
      <c r="G1" s="144"/>
      <c r="H1" s="144"/>
    </row>
    <row r="2" spans="1:11" ht="12.75" customHeight="1" x14ac:dyDescent="0.3">
      <c r="B2" s="145" t="s">
        <v>1</v>
      </c>
      <c r="C2" s="145"/>
      <c r="D2" s="145"/>
      <c r="E2" s="145"/>
      <c r="F2" s="145"/>
      <c r="G2" s="144"/>
      <c r="H2" s="144"/>
    </row>
    <row r="3" spans="1:11" ht="21" customHeight="1" x14ac:dyDescent="0.3">
      <c r="A3" s="3" t="s">
        <v>160</v>
      </c>
      <c r="B3" s="145" t="s">
        <v>2</v>
      </c>
      <c r="C3" s="145"/>
      <c r="D3" s="145"/>
      <c r="E3" s="145"/>
      <c r="F3" s="145"/>
      <c r="G3" s="144"/>
      <c r="H3" s="144"/>
    </row>
    <row r="4" spans="1:11" ht="21" customHeight="1" x14ac:dyDescent="0.3">
      <c r="A4" s="3"/>
      <c r="B4" s="122"/>
      <c r="C4" s="122"/>
      <c r="D4" s="122"/>
      <c r="E4" s="122"/>
      <c r="F4" s="122"/>
      <c r="G4" s="121"/>
      <c r="H4" s="121"/>
    </row>
    <row r="5" spans="1:11" ht="14.25" customHeight="1" x14ac:dyDescent="0.3">
      <c r="B5" s="145" t="s">
        <v>3</v>
      </c>
      <c r="C5" s="145"/>
      <c r="D5" s="145"/>
      <c r="E5" s="145"/>
      <c r="F5" s="145"/>
      <c r="G5" s="144"/>
      <c r="H5" s="144"/>
    </row>
    <row r="6" spans="1:11" ht="18" customHeight="1" x14ac:dyDescent="0.4">
      <c r="A6" s="146" t="s">
        <v>136</v>
      </c>
      <c r="B6" s="146"/>
      <c r="C6" s="146"/>
      <c r="D6" s="146"/>
      <c r="E6" s="146"/>
      <c r="F6" s="146"/>
      <c r="G6" s="146"/>
      <c r="H6" s="146"/>
    </row>
    <row r="7" spans="1:11" s="6" customFormat="1" ht="22.5" customHeight="1" x14ac:dyDescent="0.4">
      <c r="A7" s="132" t="s">
        <v>4</v>
      </c>
      <c r="B7" s="132"/>
      <c r="C7" s="132"/>
      <c r="D7" s="132"/>
      <c r="E7" s="133"/>
      <c r="F7" s="133"/>
      <c r="G7" s="133"/>
      <c r="H7" s="133"/>
      <c r="K7" s="7"/>
    </row>
    <row r="8" spans="1:11" s="8" customFormat="1" ht="18.75" customHeight="1" x14ac:dyDescent="0.4">
      <c r="A8" s="132" t="s">
        <v>156</v>
      </c>
      <c r="B8" s="132"/>
      <c r="C8" s="132"/>
      <c r="D8" s="132"/>
      <c r="E8" s="133"/>
      <c r="F8" s="133"/>
      <c r="G8" s="133"/>
      <c r="H8" s="133"/>
    </row>
    <row r="9" spans="1:11" s="9" customFormat="1" ht="17.25" customHeight="1" x14ac:dyDescent="0.2">
      <c r="A9" s="134" t="s">
        <v>5</v>
      </c>
      <c r="B9" s="134"/>
      <c r="C9" s="134"/>
      <c r="D9" s="134"/>
      <c r="E9" s="135"/>
      <c r="F9" s="135"/>
      <c r="G9" s="135"/>
      <c r="H9" s="135"/>
    </row>
    <row r="10" spans="1:11" s="8" customFormat="1" ht="30" customHeight="1" thickBot="1" x14ac:dyDescent="0.25">
      <c r="A10" s="136" t="s">
        <v>6</v>
      </c>
      <c r="B10" s="136"/>
      <c r="C10" s="136"/>
      <c r="D10" s="136"/>
      <c r="E10" s="137"/>
      <c r="F10" s="137"/>
      <c r="G10" s="137"/>
      <c r="H10" s="137"/>
    </row>
    <row r="11" spans="1:11" s="14" customFormat="1" ht="139.5" customHeight="1" thickBot="1" x14ac:dyDescent="0.25">
      <c r="A11" s="10" t="s">
        <v>7</v>
      </c>
      <c r="B11" s="11" t="s">
        <v>8</v>
      </c>
      <c r="C11" s="12" t="s">
        <v>9</v>
      </c>
      <c r="D11" s="12" t="s">
        <v>10</v>
      </c>
      <c r="E11" s="12" t="s">
        <v>9</v>
      </c>
      <c r="F11" s="13" t="s">
        <v>11</v>
      </c>
      <c r="G11" s="12" t="s">
        <v>9</v>
      </c>
      <c r="H11" s="13" t="s">
        <v>11</v>
      </c>
      <c r="K11" s="15"/>
    </row>
    <row r="12" spans="1:11" s="22" customFormat="1" x14ac:dyDescent="0.2">
      <c r="A12" s="16">
        <v>1</v>
      </c>
      <c r="B12" s="17">
        <v>2</v>
      </c>
      <c r="C12" s="17">
        <v>3</v>
      </c>
      <c r="D12" s="18"/>
      <c r="E12" s="17">
        <v>3</v>
      </c>
      <c r="F12" s="19">
        <v>4</v>
      </c>
      <c r="G12" s="20">
        <v>3</v>
      </c>
      <c r="H12" s="21">
        <v>4</v>
      </c>
      <c r="K12" s="23"/>
    </row>
    <row r="13" spans="1:11" s="22" customFormat="1" ht="49.5" customHeight="1" x14ac:dyDescent="0.2">
      <c r="A13" s="138" t="s">
        <v>12</v>
      </c>
      <c r="B13" s="139"/>
      <c r="C13" s="139"/>
      <c r="D13" s="139"/>
      <c r="E13" s="139"/>
      <c r="F13" s="139"/>
      <c r="G13" s="140"/>
      <c r="H13" s="141"/>
      <c r="K13" s="23"/>
    </row>
    <row r="14" spans="1:11" s="14" customFormat="1" ht="15" x14ac:dyDescent="0.2">
      <c r="A14" s="24" t="s">
        <v>140</v>
      </c>
      <c r="B14" s="25" t="s">
        <v>13</v>
      </c>
      <c r="C14" s="26">
        <f>F14*12</f>
        <v>0</v>
      </c>
      <c r="D14" s="27">
        <f>G14*I14</f>
        <v>111827.09</v>
      </c>
      <c r="E14" s="28">
        <f>H14*12</f>
        <v>36.72</v>
      </c>
      <c r="F14" s="29"/>
      <c r="G14" s="28">
        <f>H14*12</f>
        <v>36.72</v>
      </c>
      <c r="H14" s="28">
        <f>H19+H23</f>
        <v>3.06</v>
      </c>
      <c r="I14" s="14">
        <v>3045.4</v>
      </c>
      <c r="J14" s="14">
        <v>1.07</v>
      </c>
      <c r="K14" s="15">
        <v>2.2400000000000002</v>
      </c>
    </row>
    <row r="15" spans="1:11" s="14" customFormat="1" ht="29.25" customHeight="1" x14ac:dyDescent="0.2">
      <c r="A15" s="30" t="s">
        <v>14</v>
      </c>
      <c r="B15" s="31" t="s">
        <v>15</v>
      </c>
      <c r="C15" s="32"/>
      <c r="D15" s="33"/>
      <c r="E15" s="32"/>
      <c r="F15" s="34"/>
      <c r="G15" s="32"/>
      <c r="H15" s="32"/>
      <c r="K15" s="15"/>
    </row>
    <row r="16" spans="1:11" s="14" customFormat="1" ht="15" x14ac:dyDescent="0.2">
      <c r="A16" s="30" t="s">
        <v>16</v>
      </c>
      <c r="B16" s="31" t="s">
        <v>15</v>
      </c>
      <c r="C16" s="32"/>
      <c r="D16" s="33"/>
      <c r="E16" s="32"/>
      <c r="F16" s="34"/>
      <c r="G16" s="32"/>
      <c r="H16" s="32"/>
      <c r="K16" s="15"/>
    </row>
    <row r="17" spans="1:11" s="14" customFormat="1" ht="15" x14ac:dyDescent="0.2">
      <c r="A17" s="30" t="s">
        <v>17</v>
      </c>
      <c r="B17" s="31" t="s">
        <v>18</v>
      </c>
      <c r="C17" s="32"/>
      <c r="D17" s="33"/>
      <c r="E17" s="32"/>
      <c r="F17" s="34"/>
      <c r="G17" s="32"/>
      <c r="H17" s="32"/>
      <c r="K17" s="15"/>
    </row>
    <row r="18" spans="1:11" s="14" customFormat="1" ht="15" x14ac:dyDescent="0.2">
      <c r="A18" s="30" t="s">
        <v>19</v>
      </c>
      <c r="B18" s="31" t="s">
        <v>15</v>
      </c>
      <c r="C18" s="32"/>
      <c r="D18" s="33"/>
      <c r="E18" s="32"/>
      <c r="F18" s="34"/>
      <c r="G18" s="32"/>
      <c r="H18" s="32"/>
      <c r="K18" s="15"/>
    </row>
    <row r="19" spans="1:11" s="14" customFormat="1" ht="15" x14ac:dyDescent="0.2">
      <c r="A19" s="24" t="s">
        <v>139</v>
      </c>
      <c r="B19" s="31"/>
      <c r="C19" s="32"/>
      <c r="D19" s="33"/>
      <c r="E19" s="32"/>
      <c r="F19" s="34"/>
      <c r="G19" s="32"/>
      <c r="H19" s="26">
        <v>2.83</v>
      </c>
      <c r="K19" s="15"/>
    </row>
    <row r="20" spans="1:11" s="14" customFormat="1" ht="15" x14ac:dyDescent="0.2">
      <c r="A20" s="30" t="s">
        <v>137</v>
      </c>
      <c r="B20" s="31" t="s">
        <v>15</v>
      </c>
      <c r="C20" s="32"/>
      <c r="D20" s="33"/>
      <c r="E20" s="32"/>
      <c r="F20" s="34"/>
      <c r="G20" s="32"/>
      <c r="H20" s="32">
        <v>0.12</v>
      </c>
      <c r="K20" s="15"/>
    </row>
    <row r="21" spans="1:11" s="14" customFormat="1" ht="15" x14ac:dyDescent="0.2">
      <c r="A21" s="30" t="s">
        <v>138</v>
      </c>
      <c r="B21" s="31" t="s">
        <v>15</v>
      </c>
      <c r="C21" s="32"/>
      <c r="D21" s="33"/>
      <c r="E21" s="32"/>
      <c r="F21" s="34"/>
      <c r="G21" s="32"/>
      <c r="H21" s="32">
        <v>0.11</v>
      </c>
      <c r="K21" s="15"/>
    </row>
    <row r="22" spans="1:11" s="14" customFormat="1" ht="15" x14ac:dyDescent="0.2">
      <c r="A22" s="30" t="s">
        <v>155</v>
      </c>
      <c r="B22" s="31" t="s">
        <v>15</v>
      </c>
      <c r="C22" s="32"/>
      <c r="D22" s="33"/>
      <c r="E22" s="32"/>
      <c r="F22" s="34"/>
      <c r="G22" s="32"/>
      <c r="H22" s="32">
        <v>0</v>
      </c>
      <c r="K22" s="15"/>
    </row>
    <row r="23" spans="1:11" s="14" customFormat="1" ht="15" x14ac:dyDescent="0.2">
      <c r="A23" s="24" t="s">
        <v>139</v>
      </c>
      <c r="B23" s="31"/>
      <c r="C23" s="32"/>
      <c r="D23" s="33"/>
      <c r="E23" s="32"/>
      <c r="F23" s="34"/>
      <c r="G23" s="32"/>
      <c r="H23" s="26">
        <f>H20+H21+H22</f>
        <v>0.23</v>
      </c>
      <c r="K23" s="15"/>
    </row>
    <row r="24" spans="1:11" s="14" customFormat="1" ht="30" x14ac:dyDescent="0.2">
      <c r="A24" s="24" t="s">
        <v>20</v>
      </c>
      <c r="B24" s="35"/>
      <c r="C24" s="26">
        <f>F24*12</f>
        <v>0</v>
      </c>
      <c r="D24" s="27">
        <v>13768.65</v>
      </c>
      <c r="E24" s="28">
        <f>H24*12</f>
        <v>5.4</v>
      </c>
      <c r="F24" s="29"/>
      <c r="G24" s="28">
        <f>D24/I24</f>
        <v>5.37</v>
      </c>
      <c r="H24" s="28">
        <f>G24/12</f>
        <v>0.45</v>
      </c>
      <c r="I24" s="14">
        <v>2564.3000000000002</v>
      </c>
      <c r="J24" s="14">
        <v>1.07</v>
      </c>
      <c r="K24" s="15">
        <v>1.27</v>
      </c>
    </row>
    <row r="25" spans="1:11" s="14" customFormat="1" ht="15" x14ac:dyDescent="0.2">
      <c r="A25" s="36" t="s">
        <v>21</v>
      </c>
      <c r="B25" s="37" t="s">
        <v>22</v>
      </c>
      <c r="C25" s="26"/>
      <c r="D25" s="38"/>
      <c r="E25" s="26"/>
      <c r="F25" s="39"/>
      <c r="G25" s="26"/>
      <c r="H25" s="26"/>
      <c r="K25" s="15"/>
    </row>
    <row r="26" spans="1:11" s="14" customFormat="1" ht="15" x14ac:dyDescent="0.2">
      <c r="A26" s="36" t="s">
        <v>23</v>
      </c>
      <c r="B26" s="37" t="s">
        <v>22</v>
      </c>
      <c r="C26" s="26"/>
      <c r="D26" s="38"/>
      <c r="E26" s="26"/>
      <c r="F26" s="39"/>
      <c r="G26" s="26"/>
      <c r="H26" s="26"/>
      <c r="K26" s="15"/>
    </row>
    <row r="27" spans="1:11" s="14" customFormat="1" ht="15" x14ac:dyDescent="0.2">
      <c r="A27" s="40" t="s">
        <v>24</v>
      </c>
      <c r="B27" s="41" t="s">
        <v>25</v>
      </c>
      <c r="C27" s="26"/>
      <c r="D27" s="38"/>
      <c r="E27" s="26"/>
      <c r="F27" s="39"/>
      <c r="G27" s="26"/>
      <c r="H27" s="26"/>
      <c r="K27" s="15"/>
    </row>
    <row r="28" spans="1:11" s="14" customFormat="1" ht="15" x14ac:dyDescent="0.2">
      <c r="A28" s="36" t="s">
        <v>26</v>
      </c>
      <c r="B28" s="37" t="s">
        <v>22</v>
      </c>
      <c r="C28" s="26"/>
      <c r="D28" s="38"/>
      <c r="E28" s="26"/>
      <c r="F28" s="39"/>
      <c r="G28" s="26"/>
      <c r="H28" s="26"/>
      <c r="K28" s="15"/>
    </row>
    <row r="29" spans="1:11" s="14" customFormat="1" ht="25.5" x14ac:dyDescent="0.2">
      <c r="A29" s="36" t="s">
        <v>27</v>
      </c>
      <c r="B29" s="37" t="s">
        <v>28</v>
      </c>
      <c r="C29" s="26"/>
      <c r="D29" s="38"/>
      <c r="E29" s="26"/>
      <c r="F29" s="39"/>
      <c r="G29" s="26"/>
      <c r="H29" s="26"/>
      <c r="K29" s="15"/>
    </row>
    <row r="30" spans="1:11" s="14" customFormat="1" ht="15" x14ac:dyDescent="0.2">
      <c r="A30" s="36" t="s">
        <v>29</v>
      </c>
      <c r="B30" s="37" t="s">
        <v>22</v>
      </c>
      <c r="C30" s="26"/>
      <c r="D30" s="38"/>
      <c r="E30" s="26"/>
      <c r="F30" s="39"/>
      <c r="G30" s="26"/>
      <c r="H30" s="26"/>
      <c r="K30" s="15"/>
    </row>
    <row r="31" spans="1:11" s="14" customFormat="1" ht="15" x14ac:dyDescent="0.2">
      <c r="A31" s="42" t="s">
        <v>30</v>
      </c>
      <c r="B31" s="43" t="s">
        <v>22</v>
      </c>
      <c r="C31" s="26"/>
      <c r="D31" s="38"/>
      <c r="E31" s="26"/>
      <c r="F31" s="39"/>
      <c r="G31" s="26"/>
      <c r="H31" s="26"/>
      <c r="K31" s="15"/>
    </row>
    <row r="32" spans="1:11" s="14" customFormat="1" ht="26.25" thickBot="1" x14ac:dyDescent="0.25">
      <c r="A32" s="44" t="s">
        <v>31</v>
      </c>
      <c r="B32" s="45" t="s">
        <v>32</v>
      </c>
      <c r="C32" s="26"/>
      <c r="D32" s="38"/>
      <c r="E32" s="26"/>
      <c r="F32" s="39"/>
      <c r="G32" s="26"/>
      <c r="H32" s="26"/>
      <c r="K32" s="15"/>
    </row>
    <row r="33" spans="1:11" s="47" customFormat="1" ht="21" customHeight="1" x14ac:dyDescent="0.2">
      <c r="A33" s="46" t="s">
        <v>33</v>
      </c>
      <c r="B33" s="25" t="s">
        <v>34</v>
      </c>
      <c r="C33" s="26">
        <f>F33*12</f>
        <v>0</v>
      </c>
      <c r="D33" s="38">
        <f>G33*I33</f>
        <v>27408.6</v>
      </c>
      <c r="E33" s="26">
        <f>H33*12</f>
        <v>9</v>
      </c>
      <c r="F33" s="48"/>
      <c r="G33" s="26">
        <f>H33*12</f>
        <v>9</v>
      </c>
      <c r="H33" s="28">
        <v>0.75</v>
      </c>
      <c r="I33" s="14">
        <v>3045.4</v>
      </c>
      <c r="J33" s="14">
        <v>1.07</v>
      </c>
      <c r="K33" s="15">
        <v>0.6</v>
      </c>
    </row>
    <row r="34" spans="1:11" s="14" customFormat="1" ht="15" x14ac:dyDescent="0.2">
      <c r="A34" s="46" t="s">
        <v>35</v>
      </c>
      <c r="B34" s="25" t="s">
        <v>36</v>
      </c>
      <c r="C34" s="26">
        <f>F34*12</f>
        <v>0</v>
      </c>
      <c r="D34" s="38">
        <f>G34*I34</f>
        <v>89534.76</v>
      </c>
      <c r="E34" s="26">
        <f>H34*12</f>
        <v>29.4</v>
      </c>
      <c r="F34" s="48"/>
      <c r="G34" s="26">
        <f>H34*12</f>
        <v>29.4</v>
      </c>
      <c r="H34" s="28">
        <v>2.4500000000000002</v>
      </c>
      <c r="I34" s="14">
        <v>3045.4</v>
      </c>
      <c r="J34" s="14">
        <v>1.07</v>
      </c>
      <c r="K34" s="15">
        <v>1.94</v>
      </c>
    </row>
    <row r="35" spans="1:11" s="14" customFormat="1" ht="15" x14ac:dyDescent="0.2">
      <c r="A35" s="46" t="s">
        <v>37</v>
      </c>
      <c r="B35" s="25" t="s">
        <v>22</v>
      </c>
      <c r="C35" s="26">
        <f>F35*12</f>
        <v>0</v>
      </c>
      <c r="D35" s="38">
        <f>G35*I35</f>
        <v>47080.55</v>
      </c>
      <c r="E35" s="26">
        <f>H35*12</f>
        <v>18.36</v>
      </c>
      <c r="F35" s="48"/>
      <c r="G35" s="26">
        <f>H35*12</f>
        <v>18.36</v>
      </c>
      <c r="H35" s="28">
        <v>1.53</v>
      </c>
      <c r="I35" s="14">
        <v>2564.3000000000002</v>
      </c>
      <c r="J35" s="14">
        <v>1.07</v>
      </c>
      <c r="K35" s="15">
        <v>1.21</v>
      </c>
    </row>
    <row r="36" spans="1:11" s="14" customFormat="1" ht="15" hidden="1" x14ac:dyDescent="0.2">
      <c r="A36" s="36" t="s">
        <v>38</v>
      </c>
      <c r="B36" s="37" t="s">
        <v>39</v>
      </c>
      <c r="C36" s="26"/>
      <c r="D36" s="38"/>
      <c r="E36" s="26"/>
      <c r="F36" s="48"/>
      <c r="G36" s="26">
        <f t="shared" ref="G36:G40" si="0">D36/I36</f>
        <v>0</v>
      </c>
      <c r="H36" s="26">
        <f t="shared" ref="H36:H54" si="1">G36/12</f>
        <v>0</v>
      </c>
      <c r="I36" s="14">
        <v>2564.3000000000002</v>
      </c>
      <c r="J36" s="14">
        <v>1.07</v>
      </c>
      <c r="K36" s="15">
        <v>0</v>
      </c>
    </row>
    <row r="37" spans="1:11" s="14" customFormat="1" ht="15" hidden="1" x14ac:dyDescent="0.2">
      <c r="A37" s="36" t="s">
        <v>40</v>
      </c>
      <c r="B37" s="37" t="s">
        <v>41</v>
      </c>
      <c r="C37" s="26"/>
      <c r="D37" s="38"/>
      <c r="E37" s="26"/>
      <c r="F37" s="48"/>
      <c r="G37" s="26">
        <f t="shared" si="0"/>
        <v>0</v>
      </c>
      <c r="H37" s="26">
        <f t="shared" si="1"/>
        <v>0</v>
      </c>
      <c r="I37" s="14">
        <v>2564.3000000000002</v>
      </c>
      <c r="J37" s="14">
        <v>1.07</v>
      </c>
      <c r="K37" s="15">
        <v>0</v>
      </c>
    </row>
    <row r="38" spans="1:11" s="14" customFormat="1" ht="15" hidden="1" x14ac:dyDescent="0.2">
      <c r="A38" s="36" t="s">
        <v>42</v>
      </c>
      <c r="B38" s="37" t="s">
        <v>41</v>
      </c>
      <c r="C38" s="26"/>
      <c r="D38" s="38"/>
      <c r="E38" s="26"/>
      <c r="F38" s="48"/>
      <c r="G38" s="26">
        <f t="shared" si="0"/>
        <v>0</v>
      </c>
      <c r="H38" s="26">
        <f t="shared" si="1"/>
        <v>0</v>
      </c>
      <c r="I38" s="14">
        <v>2564.3000000000002</v>
      </c>
      <c r="J38" s="14">
        <v>1.07</v>
      </c>
      <c r="K38" s="15">
        <v>0</v>
      </c>
    </row>
    <row r="39" spans="1:11" s="14" customFormat="1" ht="15" hidden="1" x14ac:dyDescent="0.2">
      <c r="A39" s="36" t="s">
        <v>43</v>
      </c>
      <c r="B39" s="37" t="s">
        <v>44</v>
      </c>
      <c r="C39" s="26"/>
      <c r="D39" s="38"/>
      <c r="E39" s="26"/>
      <c r="F39" s="48"/>
      <c r="G39" s="26">
        <f t="shared" si="0"/>
        <v>0</v>
      </c>
      <c r="H39" s="26">
        <f t="shared" si="1"/>
        <v>0</v>
      </c>
      <c r="I39" s="14">
        <v>2564.3000000000002</v>
      </c>
      <c r="J39" s="14">
        <v>1.07</v>
      </c>
      <c r="K39" s="15">
        <v>0</v>
      </c>
    </row>
    <row r="40" spans="1:11" s="14" customFormat="1" ht="25.5" hidden="1" x14ac:dyDescent="0.2">
      <c r="A40" s="36" t="s">
        <v>45</v>
      </c>
      <c r="B40" s="37" t="s">
        <v>28</v>
      </c>
      <c r="C40" s="26"/>
      <c r="D40" s="38"/>
      <c r="E40" s="26"/>
      <c r="F40" s="48"/>
      <c r="G40" s="26">
        <f t="shared" si="0"/>
        <v>0</v>
      </c>
      <c r="H40" s="26">
        <f t="shared" si="1"/>
        <v>0</v>
      </c>
      <c r="I40" s="14">
        <v>2564.3000000000002</v>
      </c>
      <c r="J40" s="14">
        <v>1.07</v>
      </c>
      <c r="K40" s="15">
        <v>0</v>
      </c>
    </row>
    <row r="41" spans="1:11" s="14" customFormat="1" ht="45" x14ac:dyDescent="0.2">
      <c r="A41" s="46" t="s">
        <v>46</v>
      </c>
      <c r="B41" s="25" t="s">
        <v>141</v>
      </c>
      <c r="C41" s="26"/>
      <c r="D41" s="38">
        <f>3407.5*1.105</f>
        <v>3765.29</v>
      </c>
      <c r="E41" s="26"/>
      <c r="F41" s="48"/>
      <c r="G41" s="26">
        <f>D41/I41</f>
        <v>1.47</v>
      </c>
      <c r="H41" s="28">
        <f>G41/12</f>
        <v>0.12</v>
      </c>
      <c r="I41" s="14">
        <v>2564.3000000000002</v>
      </c>
      <c r="K41" s="15"/>
    </row>
    <row r="42" spans="1:11" s="14" customFormat="1" ht="20.25" customHeight="1" x14ac:dyDescent="0.2">
      <c r="A42" s="46" t="s">
        <v>47</v>
      </c>
      <c r="B42" s="25" t="s">
        <v>22</v>
      </c>
      <c r="C42" s="26">
        <f>F42*12</f>
        <v>0</v>
      </c>
      <c r="D42" s="38">
        <f>G42*I42</f>
        <v>54465.73</v>
      </c>
      <c r="E42" s="26">
        <f>H42*12</f>
        <v>21.24</v>
      </c>
      <c r="F42" s="48"/>
      <c r="G42" s="26">
        <f>H42*12</f>
        <v>21.24</v>
      </c>
      <c r="H42" s="28">
        <v>1.77</v>
      </c>
      <c r="I42" s="14">
        <v>2564.3000000000002</v>
      </c>
      <c r="J42" s="14">
        <v>1.07</v>
      </c>
      <c r="K42" s="15">
        <v>1.4</v>
      </c>
    </row>
    <row r="43" spans="1:11" s="14" customFormat="1" ht="15" hidden="1" x14ac:dyDescent="0.2">
      <c r="A43" s="36" t="s">
        <v>48</v>
      </c>
      <c r="B43" s="37" t="s">
        <v>41</v>
      </c>
      <c r="C43" s="26"/>
      <c r="D43" s="38">
        <f t="shared" ref="D43:D48" ca="1" si="2">G43*I43</f>
        <v>49234.559999999998</v>
      </c>
      <c r="E43" s="26">
        <f t="shared" ref="E43:E48" ca="1" si="3">H43*12</f>
        <v>19.2</v>
      </c>
      <c r="F43" s="48"/>
      <c r="G43" s="26">
        <f t="shared" ref="G43:G48" ca="1" si="4">H43*12</f>
        <v>19.2</v>
      </c>
      <c r="H43" s="26">
        <f t="shared" ca="1" si="1"/>
        <v>0</v>
      </c>
      <c r="J43" s="14">
        <v>1.07</v>
      </c>
      <c r="K43" s="15">
        <v>0</v>
      </c>
    </row>
    <row r="44" spans="1:11" s="14" customFormat="1" ht="15" hidden="1" x14ac:dyDescent="0.2">
      <c r="A44" s="36" t="s">
        <v>49</v>
      </c>
      <c r="B44" s="37" t="s">
        <v>44</v>
      </c>
      <c r="C44" s="26"/>
      <c r="D44" s="38">
        <f t="shared" ca="1" si="2"/>
        <v>49234.559999999998</v>
      </c>
      <c r="E44" s="26">
        <f t="shared" ca="1" si="3"/>
        <v>19.2</v>
      </c>
      <c r="F44" s="48"/>
      <c r="G44" s="26">
        <f t="shared" ca="1" si="4"/>
        <v>19.2</v>
      </c>
      <c r="H44" s="26">
        <f t="shared" ca="1" si="1"/>
        <v>0</v>
      </c>
      <c r="J44" s="14">
        <v>1.07</v>
      </c>
      <c r="K44" s="15">
        <v>0</v>
      </c>
    </row>
    <row r="45" spans="1:11" s="14" customFormat="1" ht="25.5" hidden="1" x14ac:dyDescent="0.2">
      <c r="A45" s="36" t="s">
        <v>50</v>
      </c>
      <c r="B45" s="37" t="s">
        <v>51</v>
      </c>
      <c r="C45" s="26"/>
      <c r="D45" s="38">
        <f t="shared" ca="1" si="2"/>
        <v>49234.559999999998</v>
      </c>
      <c r="E45" s="26">
        <f t="shared" ca="1" si="3"/>
        <v>19.2</v>
      </c>
      <c r="F45" s="48"/>
      <c r="G45" s="26">
        <f t="shared" ca="1" si="4"/>
        <v>19.2</v>
      </c>
      <c r="H45" s="26">
        <f t="shared" ca="1" si="1"/>
        <v>0</v>
      </c>
      <c r="J45" s="14">
        <v>1.07</v>
      </c>
      <c r="K45" s="15">
        <v>0</v>
      </c>
    </row>
    <row r="46" spans="1:11" s="14" customFormat="1" ht="15" hidden="1" x14ac:dyDescent="0.2">
      <c r="A46" s="36" t="s">
        <v>52</v>
      </c>
      <c r="B46" s="37" t="s">
        <v>53</v>
      </c>
      <c r="C46" s="26"/>
      <c r="D46" s="38">
        <f t="shared" ca="1" si="2"/>
        <v>49234.559999999998</v>
      </c>
      <c r="E46" s="26">
        <f t="shared" ca="1" si="3"/>
        <v>19.2</v>
      </c>
      <c r="F46" s="48"/>
      <c r="G46" s="26">
        <f t="shared" ca="1" si="4"/>
        <v>19.2</v>
      </c>
      <c r="H46" s="26">
        <f t="shared" ca="1" si="1"/>
        <v>0</v>
      </c>
      <c r="J46" s="14">
        <v>1.07</v>
      </c>
      <c r="K46" s="15">
        <v>0</v>
      </c>
    </row>
    <row r="47" spans="1:11" s="14" customFormat="1" ht="15" hidden="1" x14ac:dyDescent="0.2">
      <c r="A47" s="36" t="s">
        <v>54</v>
      </c>
      <c r="B47" s="37" t="s">
        <v>44</v>
      </c>
      <c r="C47" s="26"/>
      <c r="D47" s="38">
        <f t="shared" ca="1" si="2"/>
        <v>49234.559999999998</v>
      </c>
      <c r="E47" s="26">
        <f t="shared" ca="1" si="3"/>
        <v>19.2</v>
      </c>
      <c r="F47" s="48"/>
      <c r="G47" s="26">
        <f t="shared" ca="1" si="4"/>
        <v>19.2</v>
      </c>
      <c r="H47" s="26">
        <f t="shared" ca="1" si="1"/>
        <v>0</v>
      </c>
      <c r="J47" s="14">
        <v>1.07</v>
      </c>
      <c r="K47" s="15">
        <v>0</v>
      </c>
    </row>
    <row r="48" spans="1:11" s="14" customFormat="1" ht="28.5" x14ac:dyDescent="0.2">
      <c r="A48" s="46" t="s">
        <v>55</v>
      </c>
      <c r="B48" s="49" t="s">
        <v>56</v>
      </c>
      <c r="C48" s="26">
        <f>F48*12</f>
        <v>0</v>
      </c>
      <c r="D48" s="38">
        <f t="shared" si="2"/>
        <v>116008.93</v>
      </c>
      <c r="E48" s="26">
        <f t="shared" si="3"/>
        <v>45.24</v>
      </c>
      <c r="F48" s="48"/>
      <c r="G48" s="26">
        <f t="shared" si="4"/>
        <v>45.24</v>
      </c>
      <c r="H48" s="28">
        <v>3.77</v>
      </c>
      <c r="I48" s="14">
        <v>2564.3000000000002</v>
      </c>
      <c r="J48" s="14">
        <v>1.07</v>
      </c>
      <c r="K48" s="15">
        <v>2.99</v>
      </c>
    </row>
    <row r="49" spans="1:11" s="22" customFormat="1" ht="30" x14ac:dyDescent="0.2">
      <c r="A49" s="46" t="s">
        <v>57</v>
      </c>
      <c r="B49" s="25" t="s">
        <v>13</v>
      </c>
      <c r="C49" s="50"/>
      <c r="D49" s="38">
        <v>2042.21</v>
      </c>
      <c r="E49" s="50"/>
      <c r="F49" s="48"/>
      <c r="G49" s="26">
        <f t="shared" ref="G49:G54" si="5">D49/I49</f>
        <v>0.67</v>
      </c>
      <c r="H49" s="28">
        <f t="shared" si="1"/>
        <v>0.06</v>
      </c>
      <c r="I49" s="14">
        <v>3045.4</v>
      </c>
      <c r="J49" s="14">
        <v>1.07</v>
      </c>
      <c r="K49" s="15">
        <v>0.04</v>
      </c>
    </row>
    <row r="50" spans="1:11" s="22" customFormat="1" ht="30.75" customHeight="1" x14ac:dyDescent="0.2">
      <c r="A50" s="46" t="s">
        <v>58</v>
      </c>
      <c r="B50" s="25" t="s">
        <v>13</v>
      </c>
      <c r="C50" s="50"/>
      <c r="D50" s="38">
        <v>2042.21</v>
      </c>
      <c r="E50" s="50"/>
      <c r="F50" s="48"/>
      <c r="G50" s="26">
        <f t="shared" si="5"/>
        <v>0.67</v>
      </c>
      <c r="H50" s="28">
        <f t="shared" si="1"/>
        <v>0.06</v>
      </c>
      <c r="I50" s="14">
        <v>3045.4</v>
      </c>
      <c r="J50" s="14">
        <v>1.07</v>
      </c>
      <c r="K50" s="15">
        <v>0.04</v>
      </c>
    </row>
    <row r="51" spans="1:11" s="22" customFormat="1" ht="18.75" customHeight="1" x14ac:dyDescent="0.2">
      <c r="A51" s="46" t="s">
        <v>59</v>
      </c>
      <c r="B51" s="25" t="s">
        <v>13</v>
      </c>
      <c r="C51" s="50"/>
      <c r="D51" s="38">
        <v>12896.1</v>
      </c>
      <c r="E51" s="50"/>
      <c r="F51" s="48"/>
      <c r="G51" s="26">
        <f t="shared" si="5"/>
        <v>4.2300000000000004</v>
      </c>
      <c r="H51" s="28">
        <f t="shared" si="1"/>
        <v>0.35</v>
      </c>
      <c r="I51" s="14">
        <v>3045.4</v>
      </c>
      <c r="J51" s="14">
        <v>1.07</v>
      </c>
      <c r="K51" s="15">
        <v>0.28000000000000003</v>
      </c>
    </row>
    <row r="52" spans="1:11" s="22" customFormat="1" ht="30" hidden="1" x14ac:dyDescent="0.2">
      <c r="A52" s="46" t="s">
        <v>60</v>
      </c>
      <c r="B52" s="25" t="s">
        <v>28</v>
      </c>
      <c r="C52" s="50"/>
      <c r="D52" s="38">
        <f ca="1">G52*I52</f>
        <v>0</v>
      </c>
      <c r="E52" s="50"/>
      <c r="F52" s="48"/>
      <c r="G52" s="26">
        <f t="shared" ca="1" si="5"/>
        <v>3.59</v>
      </c>
      <c r="H52" s="26">
        <f t="shared" ca="1" si="1"/>
        <v>0.3</v>
      </c>
      <c r="I52" s="14">
        <v>2564.3000000000002</v>
      </c>
      <c r="J52" s="14">
        <v>1.07</v>
      </c>
      <c r="K52" s="15">
        <v>0</v>
      </c>
    </row>
    <row r="53" spans="1:11" s="22" customFormat="1" ht="30" hidden="1" x14ac:dyDescent="0.2">
      <c r="A53" s="46" t="s">
        <v>61</v>
      </c>
      <c r="B53" s="25" t="s">
        <v>28</v>
      </c>
      <c r="C53" s="50"/>
      <c r="D53" s="38">
        <f ca="1">G53*I53</f>
        <v>0</v>
      </c>
      <c r="E53" s="50"/>
      <c r="F53" s="48"/>
      <c r="G53" s="26">
        <f t="shared" ca="1" si="5"/>
        <v>3.59</v>
      </c>
      <c r="H53" s="26">
        <f t="shared" ca="1" si="1"/>
        <v>0.3</v>
      </c>
      <c r="I53" s="14">
        <v>2564.3000000000002</v>
      </c>
      <c r="J53" s="14">
        <v>1.07</v>
      </c>
      <c r="K53" s="15">
        <v>0</v>
      </c>
    </row>
    <row r="54" spans="1:11" s="22" customFormat="1" ht="30" hidden="1" x14ac:dyDescent="0.2">
      <c r="A54" s="46" t="s">
        <v>62</v>
      </c>
      <c r="B54" s="25" t="s">
        <v>28</v>
      </c>
      <c r="C54" s="50"/>
      <c r="D54" s="38">
        <f ca="1">G54*I54</f>
        <v>0</v>
      </c>
      <c r="E54" s="50"/>
      <c r="F54" s="48"/>
      <c r="G54" s="26">
        <f t="shared" ca="1" si="5"/>
        <v>3.59</v>
      </c>
      <c r="H54" s="26">
        <f t="shared" ca="1" si="1"/>
        <v>0.3</v>
      </c>
      <c r="I54" s="14">
        <v>2564.3000000000002</v>
      </c>
      <c r="J54" s="14">
        <v>1.07</v>
      </c>
      <c r="K54" s="15">
        <v>0</v>
      </c>
    </row>
    <row r="55" spans="1:11" s="22" customFormat="1" ht="30" x14ac:dyDescent="0.2">
      <c r="A55" s="46" t="s">
        <v>63</v>
      </c>
      <c r="B55" s="25"/>
      <c r="C55" s="50">
        <f>F55*12</f>
        <v>0</v>
      </c>
      <c r="D55" s="38">
        <f>G55*I55</f>
        <v>6462.04</v>
      </c>
      <c r="E55" s="50">
        <f>H55*12</f>
        <v>2.52</v>
      </c>
      <c r="F55" s="48"/>
      <c r="G55" s="26">
        <f>H55*12</f>
        <v>2.52</v>
      </c>
      <c r="H55" s="28">
        <v>0.21</v>
      </c>
      <c r="I55" s="14">
        <v>2564.3000000000002</v>
      </c>
      <c r="J55" s="14">
        <v>1.07</v>
      </c>
      <c r="K55" s="15">
        <v>0.14000000000000001</v>
      </c>
    </row>
    <row r="56" spans="1:11" s="14" customFormat="1" ht="15" x14ac:dyDescent="0.2">
      <c r="A56" s="46" t="s">
        <v>64</v>
      </c>
      <c r="B56" s="25" t="s">
        <v>65</v>
      </c>
      <c r="C56" s="50">
        <f>F56*12</f>
        <v>0</v>
      </c>
      <c r="D56" s="38">
        <f>G56*I56</f>
        <v>2192.69</v>
      </c>
      <c r="E56" s="50">
        <f>H56*12</f>
        <v>0.72</v>
      </c>
      <c r="F56" s="48"/>
      <c r="G56" s="26">
        <f>H56*12</f>
        <v>0.72</v>
      </c>
      <c r="H56" s="28">
        <v>0.06</v>
      </c>
      <c r="I56" s="14">
        <v>3045.4</v>
      </c>
      <c r="J56" s="14">
        <v>1.07</v>
      </c>
      <c r="K56" s="15">
        <v>0.03</v>
      </c>
    </row>
    <row r="57" spans="1:11" s="14" customFormat="1" ht="15" x14ac:dyDescent="0.2">
      <c r="A57" s="46" t="s">
        <v>66</v>
      </c>
      <c r="B57" s="51" t="s">
        <v>67</v>
      </c>
      <c r="C57" s="52">
        <f>F57*12</f>
        <v>0</v>
      </c>
      <c r="D57" s="38">
        <f t="shared" ref="D57:D58" si="6">G57*I57</f>
        <v>1461.79</v>
      </c>
      <c r="E57" s="50">
        <f t="shared" ref="E57:E58" si="7">H57*12</f>
        <v>0.48</v>
      </c>
      <c r="F57" s="48"/>
      <c r="G57" s="26">
        <f t="shared" ref="G57:G58" si="8">H57*12</f>
        <v>0.48</v>
      </c>
      <c r="H57" s="28">
        <v>0.04</v>
      </c>
      <c r="I57" s="14">
        <v>3045.4</v>
      </c>
      <c r="J57" s="14">
        <v>1.07</v>
      </c>
      <c r="K57" s="15">
        <v>0.02</v>
      </c>
    </row>
    <row r="58" spans="1:11" s="47" customFormat="1" ht="30" x14ac:dyDescent="0.2">
      <c r="A58" s="46" t="s">
        <v>68</v>
      </c>
      <c r="B58" s="25" t="s">
        <v>69</v>
      </c>
      <c r="C58" s="50">
        <f>F58*12</f>
        <v>0</v>
      </c>
      <c r="D58" s="38">
        <f t="shared" si="6"/>
        <v>1827.24</v>
      </c>
      <c r="E58" s="50">
        <f t="shared" si="7"/>
        <v>0.6</v>
      </c>
      <c r="F58" s="48"/>
      <c r="G58" s="26">
        <f t="shared" si="8"/>
        <v>0.6</v>
      </c>
      <c r="H58" s="28">
        <v>0.05</v>
      </c>
      <c r="I58" s="14">
        <v>3045.4</v>
      </c>
      <c r="J58" s="14">
        <v>1.07</v>
      </c>
      <c r="K58" s="15">
        <v>0.03</v>
      </c>
    </row>
    <row r="59" spans="1:11" s="47" customFormat="1" ht="15" x14ac:dyDescent="0.2">
      <c r="A59" s="46" t="s">
        <v>70</v>
      </c>
      <c r="B59" s="25"/>
      <c r="C59" s="26"/>
      <c r="D59" s="26">
        <f>D61+D62+D63+D64+D65+D66+D67+D68+D69+D71+D70</f>
        <v>24297.42</v>
      </c>
      <c r="E59" s="26" t="e">
        <f>E61+E62+E64+E65+E66+E67+E68+E69+E70+E71+#REF!+#REF!</f>
        <v>#REF!</v>
      </c>
      <c r="F59" s="26" t="e">
        <f>F61+F62+F64+F65+F66+F67+F68+F69+F70+F71+#REF!+#REF!</f>
        <v>#REF!</v>
      </c>
      <c r="G59" s="26"/>
      <c r="H59" s="26">
        <f>G59/12</f>
        <v>0</v>
      </c>
      <c r="I59" s="14">
        <v>3045.4</v>
      </c>
      <c r="J59" s="14">
        <v>1.07</v>
      </c>
      <c r="K59" s="15">
        <v>0.71</v>
      </c>
    </row>
    <row r="60" spans="1:11" s="22" customFormat="1" ht="15" hidden="1" x14ac:dyDescent="0.2">
      <c r="A60" s="53"/>
      <c r="B60" s="37"/>
      <c r="C60" s="54"/>
      <c r="D60" s="55"/>
      <c r="E60" s="54"/>
      <c r="F60" s="56"/>
      <c r="G60" s="54"/>
      <c r="H60" s="54"/>
      <c r="I60" s="14"/>
      <c r="J60" s="14"/>
      <c r="K60" s="15"/>
    </row>
    <row r="61" spans="1:11" s="22" customFormat="1" ht="15" x14ac:dyDescent="0.2">
      <c r="A61" s="53" t="s">
        <v>71</v>
      </c>
      <c r="B61" s="37" t="s">
        <v>51</v>
      </c>
      <c r="C61" s="54"/>
      <c r="D61" s="57">
        <v>325.83</v>
      </c>
      <c r="E61" s="54"/>
      <c r="F61" s="56"/>
      <c r="G61" s="54"/>
      <c r="H61" s="54"/>
      <c r="I61" s="14">
        <v>3045.4</v>
      </c>
      <c r="J61" s="14">
        <v>1.07</v>
      </c>
      <c r="K61" s="15">
        <v>0.01</v>
      </c>
    </row>
    <row r="62" spans="1:11" s="22" customFormat="1" ht="15" x14ac:dyDescent="0.2">
      <c r="A62" s="53" t="s">
        <v>72</v>
      </c>
      <c r="B62" s="37" t="s">
        <v>53</v>
      </c>
      <c r="C62" s="54">
        <f>F62*12</f>
        <v>0</v>
      </c>
      <c r="D62" s="57">
        <v>918.96</v>
      </c>
      <c r="E62" s="54">
        <f>H62*12</f>
        <v>0</v>
      </c>
      <c r="F62" s="56"/>
      <c r="G62" s="54"/>
      <c r="H62" s="54"/>
      <c r="I62" s="14">
        <v>3045.4</v>
      </c>
      <c r="J62" s="14">
        <v>1.07</v>
      </c>
      <c r="K62" s="15">
        <v>0.01</v>
      </c>
    </row>
    <row r="63" spans="1:11" s="22" customFormat="1" ht="15" x14ac:dyDescent="0.2">
      <c r="A63" s="53" t="s">
        <v>132</v>
      </c>
      <c r="B63" s="60" t="s">
        <v>51</v>
      </c>
      <c r="C63" s="54"/>
      <c r="D63" s="57">
        <v>1637.48</v>
      </c>
      <c r="E63" s="54"/>
      <c r="F63" s="56"/>
      <c r="G63" s="54"/>
      <c r="H63" s="54"/>
      <c r="I63" s="14">
        <v>3045.4</v>
      </c>
      <c r="J63" s="14"/>
      <c r="K63" s="15"/>
    </row>
    <row r="64" spans="1:11" s="22" customFormat="1" ht="25.5" x14ac:dyDescent="0.2">
      <c r="A64" s="113" t="s">
        <v>148</v>
      </c>
      <c r="B64" s="116" t="s">
        <v>28</v>
      </c>
      <c r="C64" s="58"/>
      <c r="D64" s="58">
        <v>0</v>
      </c>
      <c r="E64" s="54">
        <f>H64*12</f>
        <v>0</v>
      </c>
      <c r="F64" s="56"/>
      <c r="G64" s="54"/>
      <c r="H64" s="54"/>
      <c r="I64" s="14">
        <v>2564.3000000000002</v>
      </c>
      <c r="J64" s="14">
        <v>1.07</v>
      </c>
      <c r="K64" s="15">
        <v>0.27</v>
      </c>
    </row>
    <row r="65" spans="1:11" s="22" customFormat="1" ht="15" x14ac:dyDescent="0.2">
      <c r="A65" s="53" t="s">
        <v>73</v>
      </c>
      <c r="B65" s="37" t="s">
        <v>51</v>
      </c>
      <c r="C65" s="54">
        <f>F65*12</f>
        <v>0</v>
      </c>
      <c r="D65" s="57">
        <v>1751.22</v>
      </c>
      <c r="E65" s="54">
        <f>H65*12</f>
        <v>0</v>
      </c>
      <c r="F65" s="56"/>
      <c r="G65" s="54"/>
      <c r="H65" s="54"/>
      <c r="I65" s="14">
        <v>3045.4</v>
      </c>
      <c r="J65" s="14">
        <v>1.07</v>
      </c>
      <c r="K65" s="15">
        <v>0.02</v>
      </c>
    </row>
    <row r="66" spans="1:11" s="22" customFormat="1" ht="15" x14ac:dyDescent="0.2">
      <c r="A66" s="53" t="s">
        <v>74</v>
      </c>
      <c r="B66" s="37" t="s">
        <v>51</v>
      </c>
      <c r="C66" s="54">
        <f>F66*12</f>
        <v>0</v>
      </c>
      <c r="D66" s="57">
        <v>5855.59</v>
      </c>
      <c r="E66" s="54">
        <f>H66*12</f>
        <v>0</v>
      </c>
      <c r="F66" s="56"/>
      <c r="G66" s="54"/>
      <c r="H66" s="54"/>
      <c r="I66" s="14">
        <v>3045.4</v>
      </c>
      <c r="J66" s="14">
        <v>1.07</v>
      </c>
      <c r="K66" s="15">
        <v>0.1</v>
      </c>
    </row>
    <row r="67" spans="1:11" s="22" customFormat="1" ht="15" x14ac:dyDescent="0.2">
      <c r="A67" s="53" t="s">
        <v>133</v>
      </c>
      <c r="B67" s="37" t="s">
        <v>51</v>
      </c>
      <c r="C67" s="54">
        <f>F67*12</f>
        <v>0</v>
      </c>
      <c r="D67" s="57">
        <v>918.95</v>
      </c>
      <c r="E67" s="54">
        <f>H67*12</f>
        <v>0</v>
      </c>
      <c r="F67" s="56"/>
      <c r="G67" s="54"/>
      <c r="H67" s="54"/>
      <c r="I67" s="14">
        <v>3045.4</v>
      </c>
      <c r="J67" s="14">
        <v>1.07</v>
      </c>
      <c r="K67" s="15">
        <v>0.02</v>
      </c>
    </row>
    <row r="68" spans="1:11" s="22" customFormat="1" ht="15" x14ac:dyDescent="0.2">
      <c r="A68" s="53" t="s">
        <v>75</v>
      </c>
      <c r="B68" s="37" t="s">
        <v>51</v>
      </c>
      <c r="C68" s="54"/>
      <c r="D68" s="57">
        <v>437.79</v>
      </c>
      <c r="E68" s="54"/>
      <c r="F68" s="56"/>
      <c r="G68" s="54"/>
      <c r="H68" s="54"/>
      <c r="I68" s="14">
        <v>3045.4</v>
      </c>
      <c r="J68" s="14">
        <v>1.07</v>
      </c>
      <c r="K68" s="15">
        <v>0.01</v>
      </c>
    </row>
    <row r="69" spans="1:11" s="22" customFormat="1" ht="15" x14ac:dyDescent="0.2">
      <c r="A69" s="53" t="s">
        <v>76</v>
      </c>
      <c r="B69" s="37" t="s">
        <v>53</v>
      </c>
      <c r="C69" s="54"/>
      <c r="D69" s="61">
        <v>3502.46</v>
      </c>
      <c r="E69" s="54"/>
      <c r="F69" s="56"/>
      <c r="G69" s="54"/>
      <c r="H69" s="54"/>
      <c r="I69" s="14">
        <v>3045.4</v>
      </c>
      <c r="J69" s="14">
        <v>1.07</v>
      </c>
      <c r="K69" s="15">
        <v>0.04</v>
      </c>
    </row>
    <row r="70" spans="1:11" s="22" customFormat="1" ht="25.5" x14ac:dyDescent="0.2">
      <c r="A70" s="53" t="s">
        <v>77</v>
      </c>
      <c r="B70" s="37" t="s">
        <v>51</v>
      </c>
      <c r="C70" s="54">
        <f>F70*12</f>
        <v>0</v>
      </c>
      <c r="D70" s="57">
        <v>2891.57</v>
      </c>
      <c r="E70" s="54">
        <f>H70*12</f>
        <v>0</v>
      </c>
      <c r="F70" s="56"/>
      <c r="G70" s="54"/>
      <c r="H70" s="54"/>
      <c r="I70" s="14">
        <v>3045.4</v>
      </c>
      <c r="J70" s="14">
        <v>1.07</v>
      </c>
      <c r="K70" s="15">
        <v>0.06</v>
      </c>
    </row>
    <row r="71" spans="1:11" s="22" customFormat="1" ht="15" x14ac:dyDescent="0.2">
      <c r="A71" s="53" t="s">
        <v>78</v>
      </c>
      <c r="B71" s="37" t="s">
        <v>51</v>
      </c>
      <c r="C71" s="54"/>
      <c r="D71" s="57">
        <v>6057.57</v>
      </c>
      <c r="E71" s="54"/>
      <c r="F71" s="56"/>
      <c r="G71" s="54"/>
      <c r="H71" s="54"/>
      <c r="I71" s="14">
        <v>3045.4</v>
      </c>
      <c r="J71" s="14">
        <v>1.07</v>
      </c>
      <c r="K71" s="15">
        <v>0.01</v>
      </c>
    </row>
    <row r="72" spans="1:11" s="22" customFormat="1" ht="15" hidden="1" x14ac:dyDescent="0.2">
      <c r="A72" s="53"/>
      <c r="B72" s="37"/>
      <c r="C72" s="59"/>
      <c r="D72" s="55"/>
      <c r="E72" s="59"/>
      <c r="F72" s="56"/>
      <c r="G72" s="54"/>
      <c r="H72" s="54"/>
      <c r="I72" s="14"/>
      <c r="J72" s="14"/>
      <c r="K72" s="15"/>
    </row>
    <row r="73" spans="1:11" s="22" customFormat="1" ht="15" hidden="1" x14ac:dyDescent="0.2">
      <c r="A73" s="53"/>
      <c r="B73" s="37"/>
      <c r="C73" s="54"/>
      <c r="D73" s="55"/>
      <c r="E73" s="54"/>
      <c r="F73" s="56"/>
      <c r="G73" s="54"/>
      <c r="H73" s="54"/>
      <c r="I73" s="14"/>
      <c r="J73" s="14"/>
      <c r="K73" s="15"/>
    </row>
    <row r="74" spans="1:11" s="47" customFormat="1" ht="30" x14ac:dyDescent="0.2">
      <c r="A74" s="46" t="s">
        <v>79</v>
      </c>
      <c r="B74" s="25"/>
      <c r="C74" s="26"/>
      <c r="D74" s="26">
        <f>D76+D77+D81+D83</f>
        <v>27709.68</v>
      </c>
      <c r="E74" s="26" t="e">
        <f>#REF!+#REF!+E77+#REF!+#REF!+#REF!+E83</f>
        <v>#REF!</v>
      </c>
      <c r="F74" s="26" t="e">
        <f>#REF!+#REF!+F77+#REF!+#REF!+#REF!+F83</f>
        <v>#REF!</v>
      </c>
      <c r="G74" s="26"/>
      <c r="H74" s="26">
        <f>G74/12</f>
        <v>0</v>
      </c>
      <c r="I74" s="14">
        <v>2564.3000000000002</v>
      </c>
      <c r="J74" s="14">
        <v>1.07</v>
      </c>
      <c r="K74" s="15">
        <v>0.85</v>
      </c>
    </row>
    <row r="75" spans="1:11" s="22" customFormat="1" ht="25.5" hidden="1" x14ac:dyDescent="0.2">
      <c r="A75" s="53" t="s">
        <v>80</v>
      </c>
      <c r="B75" s="60" t="s">
        <v>51</v>
      </c>
      <c r="C75" s="54"/>
      <c r="D75" s="55"/>
      <c r="E75" s="54"/>
      <c r="F75" s="56"/>
      <c r="G75" s="54"/>
      <c r="H75" s="54"/>
      <c r="I75" s="14">
        <v>3045.4</v>
      </c>
      <c r="J75" s="14">
        <v>1.07</v>
      </c>
      <c r="K75" s="15">
        <v>0.04</v>
      </c>
    </row>
    <row r="76" spans="1:11" s="22" customFormat="1" ht="15" x14ac:dyDescent="0.2">
      <c r="A76" s="53" t="s">
        <v>157</v>
      </c>
      <c r="B76" s="60" t="s">
        <v>53</v>
      </c>
      <c r="C76" s="54"/>
      <c r="D76" s="57">
        <f>9865*2</f>
        <v>19730</v>
      </c>
      <c r="E76" s="54"/>
      <c r="F76" s="56"/>
      <c r="G76" s="54"/>
      <c r="H76" s="54"/>
      <c r="I76" s="14"/>
      <c r="J76" s="14"/>
      <c r="K76" s="15"/>
    </row>
    <row r="77" spans="1:11" s="22" customFormat="1" ht="25.5" x14ac:dyDescent="0.2">
      <c r="A77" s="53" t="s">
        <v>81</v>
      </c>
      <c r="B77" s="37" t="s">
        <v>82</v>
      </c>
      <c r="C77" s="54"/>
      <c r="D77" s="57">
        <v>1751.2</v>
      </c>
      <c r="E77" s="54"/>
      <c r="F77" s="56"/>
      <c r="G77" s="54"/>
      <c r="H77" s="54"/>
      <c r="I77" s="14">
        <v>2564.3000000000002</v>
      </c>
      <c r="J77" s="14">
        <v>1.07</v>
      </c>
      <c r="K77" s="15">
        <v>0.04</v>
      </c>
    </row>
    <row r="78" spans="1:11" s="22" customFormat="1" ht="15" hidden="1" x14ac:dyDescent="0.2">
      <c r="A78" s="53" t="s">
        <v>83</v>
      </c>
      <c r="B78" s="37" t="s">
        <v>84</v>
      </c>
      <c r="C78" s="54"/>
      <c r="D78" s="55"/>
      <c r="E78" s="54"/>
      <c r="F78" s="56"/>
      <c r="G78" s="54"/>
      <c r="H78" s="54"/>
      <c r="I78" s="14">
        <v>2564.3000000000002</v>
      </c>
      <c r="J78" s="14">
        <v>1.07</v>
      </c>
      <c r="K78" s="15">
        <v>0</v>
      </c>
    </row>
    <row r="79" spans="1:11" s="22" customFormat="1" ht="15" hidden="1" x14ac:dyDescent="0.2">
      <c r="A79" s="53" t="s">
        <v>85</v>
      </c>
      <c r="B79" s="37" t="s">
        <v>51</v>
      </c>
      <c r="C79" s="54"/>
      <c r="D79" s="55"/>
      <c r="E79" s="54"/>
      <c r="F79" s="56"/>
      <c r="G79" s="54"/>
      <c r="H79" s="54"/>
      <c r="I79" s="14">
        <v>2564.3000000000002</v>
      </c>
      <c r="J79" s="14">
        <v>1.07</v>
      </c>
      <c r="K79" s="15">
        <v>0</v>
      </c>
    </row>
    <row r="80" spans="1:11" s="22" customFormat="1" ht="25.5" hidden="1" x14ac:dyDescent="0.2">
      <c r="A80" s="53" t="s">
        <v>86</v>
      </c>
      <c r="B80" s="37" t="s">
        <v>51</v>
      </c>
      <c r="C80" s="54"/>
      <c r="D80" s="55"/>
      <c r="E80" s="54"/>
      <c r="F80" s="56"/>
      <c r="G80" s="54"/>
      <c r="H80" s="54"/>
      <c r="I80" s="14">
        <v>2564.3000000000002</v>
      </c>
      <c r="J80" s="14">
        <v>1.07</v>
      </c>
      <c r="K80" s="15">
        <v>0</v>
      </c>
    </row>
    <row r="81" spans="1:11" s="22" customFormat="1" ht="25.5" x14ac:dyDescent="0.2">
      <c r="A81" s="53" t="s">
        <v>87</v>
      </c>
      <c r="B81" s="60" t="s">
        <v>28</v>
      </c>
      <c r="C81" s="54"/>
      <c r="D81" s="57">
        <v>0</v>
      </c>
      <c r="E81" s="54"/>
      <c r="F81" s="56"/>
      <c r="G81" s="54"/>
      <c r="H81" s="54"/>
      <c r="I81" s="14">
        <v>2564.3000000000002</v>
      </c>
      <c r="J81" s="14"/>
      <c r="K81" s="15"/>
    </row>
    <row r="82" spans="1:11" s="22" customFormat="1" ht="25.5" hidden="1" x14ac:dyDescent="0.2">
      <c r="A82" s="53" t="s">
        <v>87</v>
      </c>
      <c r="B82" s="37" t="s">
        <v>28</v>
      </c>
      <c r="C82" s="54"/>
      <c r="D82" s="55">
        <f>G82*I82</f>
        <v>0</v>
      </c>
      <c r="E82" s="54"/>
      <c r="F82" s="56"/>
      <c r="G82" s="54"/>
      <c r="H82" s="54"/>
      <c r="I82" s="14">
        <v>3045.4</v>
      </c>
      <c r="J82" s="14">
        <v>1.07</v>
      </c>
      <c r="K82" s="15">
        <v>0.27</v>
      </c>
    </row>
    <row r="83" spans="1:11" s="22" customFormat="1" ht="15" x14ac:dyDescent="0.2">
      <c r="A83" s="53" t="s">
        <v>88</v>
      </c>
      <c r="B83" s="37" t="s">
        <v>13</v>
      </c>
      <c r="C83" s="59"/>
      <c r="D83" s="57">
        <v>6228.48</v>
      </c>
      <c r="E83" s="59"/>
      <c r="F83" s="56"/>
      <c r="G83" s="54"/>
      <c r="H83" s="54"/>
      <c r="I83" s="14">
        <v>3045.4</v>
      </c>
      <c r="J83" s="14">
        <v>1.07</v>
      </c>
      <c r="K83" s="15">
        <v>0.14000000000000001</v>
      </c>
    </row>
    <row r="84" spans="1:11" s="68" customFormat="1" ht="15" hidden="1" x14ac:dyDescent="0.2">
      <c r="A84" s="62" t="s">
        <v>89</v>
      </c>
      <c r="B84" s="63" t="s">
        <v>51</v>
      </c>
      <c r="C84" s="64"/>
      <c r="D84" s="65">
        <f>G84*I84</f>
        <v>0</v>
      </c>
      <c r="E84" s="64"/>
      <c r="F84" s="66"/>
      <c r="G84" s="64">
        <f>H84*12</f>
        <v>0</v>
      </c>
      <c r="H84" s="64">
        <v>0</v>
      </c>
      <c r="I84" s="67">
        <v>3045.4</v>
      </c>
      <c r="J84" s="14">
        <v>1.07</v>
      </c>
      <c r="K84" s="15">
        <v>0</v>
      </c>
    </row>
    <row r="85" spans="1:11" s="22" customFormat="1" ht="30" x14ac:dyDescent="0.2">
      <c r="A85" s="46" t="s">
        <v>90</v>
      </c>
      <c r="B85" s="37"/>
      <c r="C85" s="54"/>
      <c r="D85" s="26">
        <f>D86</f>
        <v>0</v>
      </c>
      <c r="E85" s="26" t="e">
        <f>#REF!+#REF!+E86</f>
        <v>#REF!</v>
      </c>
      <c r="F85" s="26" t="e">
        <f>#REF!+#REF!+F86</f>
        <v>#REF!</v>
      </c>
      <c r="G85" s="26"/>
      <c r="H85" s="26">
        <f>G85/12</f>
        <v>0</v>
      </c>
      <c r="I85" s="14">
        <v>2564.3000000000002</v>
      </c>
      <c r="J85" s="14">
        <v>1.07</v>
      </c>
      <c r="K85" s="15">
        <v>0.41</v>
      </c>
    </row>
    <row r="86" spans="1:11" s="22" customFormat="1" ht="25.5" x14ac:dyDescent="0.2">
      <c r="A86" s="53" t="s">
        <v>91</v>
      </c>
      <c r="B86" s="41" t="s">
        <v>28</v>
      </c>
      <c r="C86" s="54"/>
      <c r="D86" s="57">
        <v>0</v>
      </c>
      <c r="E86" s="54"/>
      <c r="F86" s="56"/>
      <c r="G86" s="54"/>
      <c r="H86" s="54"/>
      <c r="I86" s="14">
        <v>3045.4</v>
      </c>
      <c r="J86" s="14">
        <v>1.07</v>
      </c>
      <c r="K86" s="15">
        <v>0.27</v>
      </c>
    </row>
    <row r="87" spans="1:11" s="22" customFormat="1" ht="15" x14ac:dyDescent="0.2">
      <c r="A87" s="46" t="s">
        <v>92</v>
      </c>
      <c r="B87" s="37"/>
      <c r="C87" s="54"/>
      <c r="D87" s="26">
        <f>D89+D90+D96+D97</f>
        <v>33205.089999999997</v>
      </c>
      <c r="E87" s="26">
        <f>E89+E90</f>
        <v>0</v>
      </c>
      <c r="F87" s="26">
        <f>F89+F90</f>
        <v>0</v>
      </c>
      <c r="G87" s="26"/>
      <c r="H87" s="26">
        <f>G87/12</f>
        <v>0</v>
      </c>
      <c r="I87" s="14">
        <v>2564.3000000000002</v>
      </c>
      <c r="J87" s="14">
        <v>1.07</v>
      </c>
      <c r="K87" s="15">
        <v>0.18</v>
      </c>
    </row>
    <row r="88" spans="1:11" s="22" customFormat="1" ht="15" hidden="1" x14ac:dyDescent="0.2">
      <c r="A88" s="53" t="s">
        <v>93</v>
      </c>
      <c r="B88" s="37" t="s">
        <v>13</v>
      </c>
      <c r="C88" s="54"/>
      <c r="D88" s="55">
        <f t="shared" ref="D88:D95" si="9">G88*I88</f>
        <v>0</v>
      </c>
      <c r="E88" s="54"/>
      <c r="F88" s="56"/>
      <c r="G88" s="54">
        <f t="shared" ref="G88:G95" si="10">H88*12</f>
        <v>0</v>
      </c>
      <c r="H88" s="54">
        <v>0</v>
      </c>
      <c r="I88" s="14">
        <v>2564.3000000000002</v>
      </c>
      <c r="J88" s="14">
        <v>1.07</v>
      </c>
      <c r="K88" s="15">
        <v>0</v>
      </c>
    </row>
    <row r="89" spans="1:11" s="22" customFormat="1" ht="15" x14ac:dyDescent="0.2">
      <c r="A89" s="53" t="s">
        <v>94</v>
      </c>
      <c r="B89" s="37" t="s">
        <v>51</v>
      </c>
      <c r="C89" s="54"/>
      <c r="D89" s="57">
        <v>6305.2</v>
      </c>
      <c r="E89" s="54"/>
      <c r="F89" s="56"/>
      <c r="G89" s="54"/>
      <c r="H89" s="54"/>
      <c r="I89" s="14">
        <v>2564.3000000000002</v>
      </c>
      <c r="J89" s="14">
        <v>1.07</v>
      </c>
      <c r="K89" s="15">
        <v>0.16</v>
      </c>
    </row>
    <row r="90" spans="1:11" s="22" customFormat="1" ht="15" x14ac:dyDescent="0.2">
      <c r="A90" s="53" t="s">
        <v>95</v>
      </c>
      <c r="B90" s="37" t="s">
        <v>51</v>
      </c>
      <c r="C90" s="54"/>
      <c r="D90" s="57">
        <v>915.28</v>
      </c>
      <c r="E90" s="54"/>
      <c r="F90" s="56"/>
      <c r="G90" s="54"/>
      <c r="H90" s="54"/>
      <c r="I90" s="14">
        <v>3045.4</v>
      </c>
      <c r="J90" s="14">
        <v>1.07</v>
      </c>
      <c r="K90" s="15">
        <v>0.02</v>
      </c>
    </row>
    <row r="91" spans="1:11" s="22" customFormat="1" ht="27.75" hidden="1" customHeight="1" x14ac:dyDescent="0.2">
      <c r="A91" s="53" t="s">
        <v>96</v>
      </c>
      <c r="B91" s="37" t="s">
        <v>28</v>
      </c>
      <c r="C91" s="54"/>
      <c r="D91" s="55">
        <f t="shared" si="9"/>
        <v>0</v>
      </c>
      <c r="E91" s="54"/>
      <c r="F91" s="56"/>
      <c r="G91" s="54">
        <f t="shared" si="10"/>
        <v>0</v>
      </c>
      <c r="H91" s="54">
        <v>0</v>
      </c>
      <c r="I91" s="14">
        <v>2564.3000000000002</v>
      </c>
      <c r="J91" s="14">
        <v>1.07</v>
      </c>
      <c r="K91" s="15">
        <v>0</v>
      </c>
    </row>
    <row r="92" spans="1:11" s="22" customFormat="1" ht="25.5" hidden="1" x14ac:dyDescent="0.2">
      <c r="A92" s="53" t="s">
        <v>97</v>
      </c>
      <c r="B92" s="37" t="s">
        <v>28</v>
      </c>
      <c r="C92" s="54"/>
      <c r="D92" s="55">
        <f t="shared" si="9"/>
        <v>0</v>
      </c>
      <c r="E92" s="54"/>
      <c r="F92" s="56"/>
      <c r="G92" s="54">
        <f t="shared" si="10"/>
        <v>0</v>
      </c>
      <c r="H92" s="54">
        <v>0</v>
      </c>
      <c r="I92" s="14">
        <v>2564.3000000000002</v>
      </c>
      <c r="J92" s="14">
        <v>1.07</v>
      </c>
      <c r="K92" s="15">
        <v>0</v>
      </c>
    </row>
    <row r="93" spans="1:11" s="22" customFormat="1" ht="25.5" hidden="1" x14ac:dyDescent="0.2">
      <c r="A93" s="53" t="s">
        <v>98</v>
      </c>
      <c r="B93" s="37" t="s">
        <v>28</v>
      </c>
      <c r="C93" s="54"/>
      <c r="D93" s="55">
        <f t="shared" si="9"/>
        <v>0</v>
      </c>
      <c r="E93" s="54"/>
      <c r="F93" s="56"/>
      <c r="G93" s="54">
        <f t="shared" si="10"/>
        <v>0</v>
      </c>
      <c r="H93" s="54">
        <v>0</v>
      </c>
      <c r="I93" s="14">
        <v>2564.3000000000002</v>
      </c>
      <c r="J93" s="14">
        <v>1.07</v>
      </c>
      <c r="K93" s="15">
        <v>0</v>
      </c>
    </row>
    <row r="94" spans="1:11" s="22" customFormat="1" ht="25.5" hidden="1" x14ac:dyDescent="0.2">
      <c r="A94" s="53" t="s">
        <v>99</v>
      </c>
      <c r="B94" s="37" t="s">
        <v>28</v>
      </c>
      <c r="C94" s="54"/>
      <c r="D94" s="55">
        <f t="shared" si="9"/>
        <v>0</v>
      </c>
      <c r="E94" s="54"/>
      <c r="F94" s="56"/>
      <c r="G94" s="54">
        <f t="shared" si="10"/>
        <v>0</v>
      </c>
      <c r="H94" s="54">
        <v>0</v>
      </c>
      <c r="I94" s="14">
        <v>2564.3000000000002</v>
      </c>
      <c r="J94" s="14">
        <v>1.07</v>
      </c>
      <c r="K94" s="15">
        <v>0</v>
      </c>
    </row>
    <row r="95" spans="1:11" s="22" customFormat="1" ht="25.5" hidden="1" x14ac:dyDescent="0.2">
      <c r="A95" s="53" t="s">
        <v>100</v>
      </c>
      <c r="B95" s="37" t="s">
        <v>28</v>
      </c>
      <c r="C95" s="54"/>
      <c r="D95" s="55">
        <f t="shared" si="9"/>
        <v>0</v>
      </c>
      <c r="E95" s="54"/>
      <c r="F95" s="56"/>
      <c r="G95" s="54">
        <f t="shared" si="10"/>
        <v>0</v>
      </c>
      <c r="H95" s="54">
        <v>0</v>
      </c>
      <c r="I95" s="14">
        <v>2564.3000000000002</v>
      </c>
      <c r="J95" s="14">
        <v>1.07</v>
      </c>
      <c r="K95" s="15">
        <v>0</v>
      </c>
    </row>
    <row r="96" spans="1:11" s="22" customFormat="1" ht="15" hidden="1" x14ac:dyDescent="0.2">
      <c r="A96" s="53" t="s">
        <v>101</v>
      </c>
      <c r="B96" s="41" t="s">
        <v>102</v>
      </c>
      <c r="C96" s="54"/>
      <c r="D96" s="108"/>
      <c r="E96" s="59"/>
      <c r="F96" s="108"/>
      <c r="G96" s="59"/>
      <c r="H96" s="59"/>
      <c r="I96" s="14"/>
      <c r="J96" s="14"/>
      <c r="K96" s="15"/>
    </row>
    <row r="97" spans="1:11" s="22" customFormat="1" ht="15" x14ac:dyDescent="0.2">
      <c r="A97" s="53" t="s">
        <v>101</v>
      </c>
      <c r="B97" s="41" t="s">
        <v>135</v>
      </c>
      <c r="C97" s="54"/>
      <c r="D97" s="120">
        <v>25984.61</v>
      </c>
      <c r="E97" s="59"/>
      <c r="F97" s="108"/>
      <c r="G97" s="59"/>
      <c r="H97" s="59"/>
      <c r="I97" s="14">
        <v>2564.3000000000002</v>
      </c>
      <c r="J97" s="14"/>
      <c r="K97" s="15"/>
    </row>
    <row r="98" spans="1:11" s="22" customFormat="1" ht="15" x14ac:dyDescent="0.2">
      <c r="A98" s="46" t="s">
        <v>103</v>
      </c>
      <c r="B98" s="37"/>
      <c r="C98" s="54"/>
      <c r="D98" s="26">
        <f>D99+D100</f>
        <v>1098.1600000000001</v>
      </c>
      <c r="E98" s="26" t="e">
        <f>E99+#REF!+E100</f>
        <v>#REF!</v>
      </c>
      <c r="F98" s="26" t="e">
        <f>F99+#REF!+F100</f>
        <v>#REF!</v>
      </c>
      <c r="G98" s="26"/>
      <c r="H98" s="26">
        <f>G98/12</f>
        <v>0</v>
      </c>
      <c r="I98" s="14">
        <v>2564.3000000000002</v>
      </c>
      <c r="J98" s="14">
        <v>1.07</v>
      </c>
      <c r="K98" s="15">
        <v>0.12</v>
      </c>
    </row>
    <row r="99" spans="1:11" s="22" customFormat="1" ht="15" x14ac:dyDescent="0.2">
      <c r="A99" s="53" t="s">
        <v>104</v>
      </c>
      <c r="B99" s="37" t="s">
        <v>51</v>
      </c>
      <c r="C99" s="54"/>
      <c r="D99" s="57">
        <v>1098.1600000000001</v>
      </c>
      <c r="E99" s="54"/>
      <c r="F99" s="56"/>
      <c r="G99" s="54"/>
      <c r="H99" s="54"/>
      <c r="I99" s="14">
        <v>3045.4</v>
      </c>
      <c r="J99" s="14">
        <v>1.07</v>
      </c>
      <c r="K99" s="15">
        <v>0.02</v>
      </c>
    </row>
    <row r="100" spans="1:11" s="22" customFormat="1" ht="15" hidden="1" x14ac:dyDescent="0.2">
      <c r="A100" s="53" t="s">
        <v>105</v>
      </c>
      <c r="B100" s="37" t="s">
        <v>51</v>
      </c>
      <c r="C100" s="54"/>
      <c r="D100" s="55"/>
      <c r="E100" s="54"/>
      <c r="F100" s="56"/>
      <c r="G100" s="54"/>
      <c r="H100" s="54"/>
      <c r="I100" s="14">
        <v>3045.4</v>
      </c>
      <c r="J100" s="14">
        <v>1.07</v>
      </c>
      <c r="K100" s="15">
        <v>0.02</v>
      </c>
    </row>
    <row r="101" spans="1:11" s="14" customFormat="1" ht="15" x14ac:dyDescent="0.2">
      <c r="A101" s="46" t="s">
        <v>106</v>
      </c>
      <c r="B101" s="25"/>
      <c r="C101" s="26"/>
      <c r="D101" s="26">
        <f>D102+D103</f>
        <v>19092.560000000001</v>
      </c>
      <c r="E101" s="26">
        <f>E102+E103</f>
        <v>0</v>
      </c>
      <c r="F101" s="26">
        <f>F102+F103</f>
        <v>0</v>
      </c>
      <c r="G101" s="26"/>
      <c r="H101" s="26">
        <f>G101/12</f>
        <v>0</v>
      </c>
      <c r="I101" s="14">
        <v>2564.3000000000002</v>
      </c>
      <c r="J101" s="14">
        <v>1.07</v>
      </c>
      <c r="K101" s="15">
        <v>0.64</v>
      </c>
    </row>
    <row r="102" spans="1:11" s="22" customFormat="1" ht="15" x14ac:dyDescent="0.2">
      <c r="A102" s="53" t="s">
        <v>107</v>
      </c>
      <c r="B102" s="41" t="s">
        <v>53</v>
      </c>
      <c r="C102" s="54"/>
      <c r="D102" s="57">
        <v>11048.16</v>
      </c>
      <c r="E102" s="54"/>
      <c r="F102" s="56"/>
      <c r="G102" s="54"/>
      <c r="H102" s="54"/>
      <c r="I102" s="14">
        <v>2564.3000000000002</v>
      </c>
      <c r="J102" s="14">
        <v>1.07</v>
      </c>
      <c r="K102" s="15">
        <v>0.04</v>
      </c>
    </row>
    <row r="103" spans="1:11" s="22" customFormat="1" ht="15" x14ac:dyDescent="0.2">
      <c r="A103" s="53" t="s">
        <v>134</v>
      </c>
      <c r="B103" s="60" t="s">
        <v>135</v>
      </c>
      <c r="C103" s="54">
        <f>F103*12</f>
        <v>0</v>
      </c>
      <c r="D103" s="57">
        <v>8044.4</v>
      </c>
      <c r="E103" s="54">
        <f>H103*12</f>
        <v>0</v>
      </c>
      <c r="F103" s="56"/>
      <c r="G103" s="54"/>
      <c r="H103" s="54"/>
      <c r="I103" s="14">
        <v>2564.3000000000002</v>
      </c>
      <c r="J103" s="14">
        <v>1.07</v>
      </c>
      <c r="K103" s="15">
        <v>0.6</v>
      </c>
    </row>
    <row r="104" spans="1:11" s="14" customFormat="1" ht="15" x14ac:dyDescent="0.2">
      <c r="A104" s="46" t="s">
        <v>108</v>
      </c>
      <c r="B104" s="25"/>
      <c r="C104" s="26"/>
      <c r="D104" s="26">
        <f>D105+D106</f>
        <v>2196.66</v>
      </c>
      <c r="E104" s="26">
        <f>E105+E106</f>
        <v>0</v>
      </c>
      <c r="F104" s="26">
        <f>F105+F106</f>
        <v>0</v>
      </c>
      <c r="G104" s="26"/>
      <c r="H104" s="26">
        <f>G104/12</f>
        <v>0</v>
      </c>
      <c r="I104" s="14">
        <v>2564.3000000000002</v>
      </c>
      <c r="J104" s="14">
        <v>1.07</v>
      </c>
      <c r="K104" s="15">
        <v>0.05</v>
      </c>
    </row>
    <row r="105" spans="1:11" s="22" customFormat="1" ht="15" x14ac:dyDescent="0.2">
      <c r="A105" s="53" t="s">
        <v>142</v>
      </c>
      <c r="B105" s="37" t="s">
        <v>109</v>
      </c>
      <c r="C105" s="54"/>
      <c r="D105" s="61">
        <v>1220.3399999999999</v>
      </c>
      <c r="E105" s="109"/>
      <c r="F105" s="110"/>
      <c r="G105" s="109"/>
      <c r="H105" s="109"/>
      <c r="I105" s="14">
        <v>2564.3000000000002</v>
      </c>
      <c r="J105" s="14">
        <v>1.07</v>
      </c>
      <c r="K105" s="15">
        <v>0.03</v>
      </c>
    </row>
    <row r="106" spans="1:11" s="22" customFormat="1" ht="15" x14ac:dyDescent="0.2">
      <c r="A106" s="53" t="s">
        <v>110</v>
      </c>
      <c r="B106" s="37" t="s">
        <v>109</v>
      </c>
      <c r="C106" s="54"/>
      <c r="D106" s="57">
        <v>976.32</v>
      </c>
      <c r="E106" s="54"/>
      <c r="F106" s="56"/>
      <c r="G106" s="54"/>
      <c r="H106" s="54"/>
      <c r="I106" s="14">
        <v>2564.3000000000002</v>
      </c>
      <c r="J106" s="14">
        <v>1.07</v>
      </c>
      <c r="K106" s="15">
        <v>0.02</v>
      </c>
    </row>
    <row r="107" spans="1:11" s="22" customFormat="1" ht="25.5" hidden="1" customHeight="1" x14ac:dyDescent="0.2">
      <c r="A107" s="53" t="s">
        <v>111</v>
      </c>
      <c r="B107" s="37" t="s">
        <v>51</v>
      </c>
      <c r="C107" s="54"/>
      <c r="D107" s="55"/>
      <c r="E107" s="54"/>
      <c r="F107" s="56"/>
      <c r="G107" s="54"/>
      <c r="H107" s="54">
        <v>0</v>
      </c>
      <c r="I107" s="14">
        <v>2564.3000000000002</v>
      </c>
      <c r="J107" s="14">
        <v>1.07</v>
      </c>
      <c r="K107" s="15">
        <v>0</v>
      </c>
    </row>
    <row r="108" spans="1:11" s="14" customFormat="1" ht="29.25" hidden="1" customHeight="1" x14ac:dyDescent="0.2">
      <c r="A108" s="69" t="s">
        <v>112</v>
      </c>
      <c r="B108" s="60"/>
      <c r="C108" s="52"/>
      <c r="D108" s="52">
        <f>G108*I108</f>
        <v>0</v>
      </c>
      <c r="E108" s="52"/>
      <c r="F108" s="70"/>
      <c r="G108" s="52">
        <f>H108*12</f>
        <v>0</v>
      </c>
      <c r="H108" s="52">
        <v>0</v>
      </c>
      <c r="I108" s="14">
        <v>2564.3000000000002</v>
      </c>
      <c r="J108" s="15"/>
    </row>
    <row r="109" spans="1:11" s="14" customFormat="1" ht="38.25" thickBot="1" x14ac:dyDescent="0.25">
      <c r="A109" s="69" t="s">
        <v>158</v>
      </c>
      <c r="B109" s="25" t="s">
        <v>28</v>
      </c>
      <c r="C109" s="52">
        <f>F109*12</f>
        <v>0</v>
      </c>
      <c r="D109" s="52">
        <f>G109*I109</f>
        <v>42464.81</v>
      </c>
      <c r="E109" s="52">
        <f>H109*12</f>
        <v>16.559999999999999</v>
      </c>
      <c r="F109" s="70"/>
      <c r="G109" s="52">
        <f>H109*12</f>
        <v>16.559999999999999</v>
      </c>
      <c r="H109" s="52">
        <v>1.38</v>
      </c>
      <c r="I109" s="14">
        <v>2564.3000000000002</v>
      </c>
      <c r="J109" s="14">
        <v>1.07</v>
      </c>
      <c r="K109" s="15">
        <v>0.3</v>
      </c>
    </row>
    <row r="110" spans="1:11" s="14" customFormat="1" ht="19.5" hidden="1" thickBot="1" x14ac:dyDescent="0.25">
      <c r="A110" s="71" t="s">
        <v>113</v>
      </c>
      <c r="B110" s="25"/>
      <c r="C110" s="50" t="e">
        <f>F110*12</f>
        <v>#REF!</v>
      </c>
      <c r="D110" s="50">
        <f>SUM(D111:D117)</f>
        <v>0</v>
      </c>
      <c r="E110" s="50">
        <f>H110*12</f>
        <v>0</v>
      </c>
      <c r="F110" s="50" t="e">
        <f>#REF!+#REF!+#REF!+#REF!+#REF!+#REF!+#REF!+#REF!+#REF!+#REF!</f>
        <v>#REF!</v>
      </c>
      <c r="G110" s="50">
        <f>G111+G112+G113+G114+G115+G116+G117</f>
        <v>0</v>
      </c>
      <c r="H110" s="50">
        <f>SUM(H111:H117)</f>
        <v>0</v>
      </c>
      <c r="I110" s="14">
        <v>2564.3000000000002</v>
      </c>
      <c r="K110" s="15"/>
    </row>
    <row r="111" spans="1:11" s="14" customFormat="1" ht="15.75" hidden="1" thickBot="1" x14ac:dyDescent="0.25">
      <c r="A111" s="72" t="s">
        <v>114</v>
      </c>
      <c r="B111" s="73"/>
      <c r="C111" s="74"/>
      <c r="D111" s="50"/>
      <c r="E111" s="50"/>
      <c r="F111" s="50"/>
      <c r="G111" s="50"/>
      <c r="H111" s="74"/>
      <c r="I111" s="14">
        <v>2564.3000000000002</v>
      </c>
      <c r="K111" s="15"/>
    </row>
    <row r="112" spans="1:11" s="14" customFormat="1" ht="15.75" hidden="1" thickBot="1" x14ac:dyDescent="0.25">
      <c r="A112" s="72" t="s">
        <v>115</v>
      </c>
      <c r="B112" s="73"/>
      <c r="C112" s="74"/>
      <c r="D112" s="50"/>
      <c r="E112" s="50"/>
      <c r="F112" s="50"/>
      <c r="G112" s="50"/>
      <c r="H112" s="74"/>
      <c r="I112" s="14">
        <v>2564.3000000000002</v>
      </c>
      <c r="K112" s="15"/>
    </row>
    <row r="113" spans="1:11" s="14" customFormat="1" ht="15.75" hidden="1" thickBot="1" x14ac:dyDescent="0.25">
      <c r="A113" s="72" t="s">
        <v>116</v>
      </c>
      <c r="B113" s="73"/>
      <c r="C113" s="74"/>
      <c r="D113" s="50"/>
      <c r="E113" s="50"/>
      <c r="F113" s="50"/>
      <c r="G113" s="50"/>
      <c r="H113" s="74"/>
      <c r="I113" s="14">
        <v>2564.3000000000002</v>
      </c>
      <c r="K113" s="15"/>
    </row>
    <row r="114" spans="1:11" s="14" customFormat="1" ht="15.75" hidden="1" thickBot="1" x14ac:dyDescent="0.25">
      <c r="A114" s="72" t="s">
        <v>117</v>
      </c>
      <c r="B114" s="73"/>
      <c r="C114" s="74"/>
      <c r="D114" s="50"/>
      <c r="E114" s="50"/>
      <c r="F114" s="50"/>
      <c r="G114" s="50"/>
      <c r="H114" s="74"/>
      <c r="I114" s="14">
        <v>2564.3000000000002</v>
      </c>
      <c r="K114" s="15"/>
    </row>
    <row r="115" spans="1:11" s="14" customFormat="1" ht="15.75" hidden="1" thickBot="1" x14ac:dyDescent="0.25">
      <c r="A115" s="72" t="s">
        <v>118</v>
      </c>
      <c r="B115" s="73"/>
      <c r="C115" s="74"/>
      <c r="D115" s="50"/>
      <c r="E115" s="50"/>
      <c r="F115" s="50"/>
      <c r="G115" s="50"/>
      <c r="H115" s="74"/>
      <c r="I115" s="14">
        <v>2564.3000000000002</v>
      </c>
      <c r="K115" s="15"/>
    </row>
    <row r="116" spans="1:11" s="14" customFormat="1" ht="15.75" hidden="1" thickBot="1" x14ac:dyDescent="0.25">
      <c r="A116" s="72" t="s">
        <v>119</v>
      </c>
      <c r="B116" s="73"/>
      <c r="C116" s="74"/>
      <c r="D116" s="50"/>
      <c r="E116" s="50"/>
      <c r="F116" s="50"/>
      <c r="G116" s="50"/>
      <c r="H116" s="74"/>
      <c r="I116" s="14">
        <v>2564.3000000000002</v>
      </c>
      <c r="K116" s="15"/>
    </row>
    <row r="117" spans="1:11" s="14" customFormat="1" ht="15.75" hidden="1" thickBot="1" x14ac:dyDescent="0.25">
      <c r="A117" s="75" t="s">
        <v>120</v>
      </c>
      <c r="B117" s="76"/>
      <c r="C117" s="77"/>
      <c r="D117" s="52"/>
      <c r="E117" s="52"/>
      <c r="F117" s="52"/>
      <c r="G117" s="52"/>
      <c r="H117" s="77"/>
      <c r="I117" s="14">
        <v>2564.3000000000002</v>
      </c>
      <c r="K117" s="15"/>
    </row>
    <row r="118" spans="1:11" s="14" customFormat="1" ht="26.25" hidden="1" thickBot="1" x14ac:dyDescent="0.25">
      <c r="A118" s="78" t="s">
        <v>121</v>
      </c>
      <c r="B118" s="60" t="s">
        <v>122</v>
      </c>
      <c r="C118" s="79"/>
      <c r="D118" s="52"/>
      <c r="E118" s="52"/>
      <c r="F118" s="70"/>
      <c r="G118" s="52"/>
      <c r="H118" s="52"/>
      <c r="I118" s="14">
        <v>2564.3000000000002</v>
      </c>
      <c r="K118" s="15"/>
    </row>
    <row r="119" spans="1:11" s="14" customFormat="1" ht="30.75" thickBot="1" x14ac:dyDescent="0.25">
      <c r="A119" s="78" t="s">
        <v>121</v>
      </c>
      <c r="B119" s="118" t="s">
        <v>159</v>
      </c>
      <c r="C119" s="119"/>
      <c r="D119" s="52">
        <v>12300</v>
      </c>
      <c r="E119" s="52"/>
      <c r="F119" s="117"/>
      <c r="G119" s="52">
        <f>D119/I119</f>
        <v>4.8</v>
      </c>
      <c r="H119" s="52">
        <f>G119/12</f>
        <v>0.4</v>
      </c>
      <c r="I119" s="14">
        <v>2564.3000000000002</v>
      </c>
      <c r="K119" s="15"/>
    </row>
    <row r="120" spans="1:11" s="14" customFormat="1" ht="19.5" thickBot="1" x14ac:dyDescent="0.25">
      <c r="A120" s="80" t="s">
        <v>123</v>
      </c>
      <c r="B120" s="81" t="s">
        <v>22</v>
      </c>
      <c r="C120" s="79"/>
      <c r="D120" s="50">
        <f>G120*I120</f>
        <v>43309.51</v>
      </c>
      <c r="E120" s="50"/>
      <c r="F120" s="50"/>
      <c r="G120" s="50">
        <f>12*H120</f>
        <v>20.76</v>
      </c>
      <c r="H120" s="50">
        <v>1.73</v>
      </c>
      <c r="I120" s="14">
        <f>2564.3-478.1</f>
        <v>2086.1999999999998</v>
      </c>
      <c r="K120" s="15"/>
    </row>
    <row r="121" spans="1:11" s="14" customFormat="1" ht="20.25" thickBot="1" x14ac:dyDescent="0.45">
      <c r="A121" s="82" t="s">
        <v>124</v>
      </c>
      <c r="B121" s="83"/>
      <c r="C121" s="84" t="e">
        <f>F121*12</f>
        <v>#REF!</v>
      </c>
      <c r="D121" s="85">
        <f>D119+D109+D104+D101+D98+D87+D85+D74+D59+D58+D57+D56+D55+D51+D50+D49+D48+D42+D41+D35+D34+D33+D24+D14+D120</f>
        <v>698457.77</v>
      </c>
      <c r="E121" s="85" t="e">
        <f>E14+E24+E33+E34+E35+E42+E48+E49+E50+E51+E55+E56+E57+E58+E59+E74+E85+E87+E98+E101+E104+E109</f>
        <v>#REF!</v>
      </c>
      <c r="F121" s="85" t="e">
        <f>F14+F24+F33+F34+F35+F42+F48+F49+F50+F51+F55+F56+F57+F58+F59+F74+F85+F87+F98+F101+F104+F109</f>
        <v>#REF!</v>
      </c>
      <c r="G121" s="85"/>
      <c r="H121" s="85"/>
      <c r="I121" s="14">
        <v>2564.3000000000002</v>
      </c>
      <c r="K121" s="15"/>
    </row>
    <row r="122" spans="1:11" s="90" customFormat="1" ht="20.25" hidden="1" thickBot="1" x14ac:dyDescent="0.25">
      <c r="A122" s="86" t="s">
        <v>125</v>
      </c>
      <c r="B122" s="87" t="s">
        <v>22</v>
      </c>
      <c r="C122" s="87" t="s">
        <v>126</v>
      </c>
      <c r="D122" s="88"/>
      <c r="E122" s="87" t="s">
        <v>126</v>
      </c>
      <c r="F122" s="89"/>
      <c r="G122" s="87" t="s">
        <v>126</v>
      </c>
      <c r="H122" s="89">
        <v>24.94</v>
      </c>
      <c r="K122" s="91"/>
    </row>
    <row r="123" spans="1:11" s="93" customFormat="1" x14ac:dyDescent="0.2">
      <c r="A123" s="92"/>
      <c r="K123" s="94"/>
    </row>
    <row r="124" spans="1:11" s="98" customFormat="1" ht="19.5" thickBot="1" x14ac:dyDescent="0.45">
      <c r="A124" s="95"/>
      <c r="B124" s="96"/>
      <c r="C124" s="97"/>
      <c r="D124" s="97"/>
      <c r="E124" s="97"/>
      <c r="F124" s="97"/>
      <c r="G124" s="97"/>
      <c r="H124" s="97"/>
      <c r="K124" s="99"/>
    </row>
    <row r="125" spans="1:11" s="98" customFormat="1" ht="30.75" thickBot="1" x14ac:dyDescent="0.45">
      <c r="A125" s="78" t="s">
        <v>127</v>
      </c>
      <c r="B125" s="83"/>
      <c r="C125" s="84">
        <f>F125*12</f>
        <v>0</v>
      </c>
      <c r="D125" s="84">
        <f>D128+D129+D133+D134+D135+D136+D137+D138+D139+D140+D143+D149+D150+D151</f>
        <v>139620.79999999999</v>
      </c>
      <c r="E125" s="84">
        <f t="shared" ref="E125:H125" si="11">E128+E129+E133+E134+E135+E136+E137+E138+E139+E140+E143</f>
        <v>0</v>
      </c>
      <c r="F125" s="84">
        <f t="shared" si="11"/>
        <v>0</v>
      </c>
      <c r="G125" s="84">
        <f t="shared" si="11"/>
        <v>8.93</v>
      </c>
      <c r="H125" s="84">
        <f t="shared" si="11"/>
        <v>0.74</v>
      </c>
      <c r="I125" s="14">
        <v>2564.3000000000002</v>
      </c>
      <c r="K125" s="99"/>
    </row>
    <row r="126" spans="1:11" s="22" customFormat="1" ht="15" hidden="1" x14ac:dyDescent="0.2">
      <c r="A126" s="53"/>
      <c r="B126" s="37"/>
      <c r="C126" s="54"/>
      <c r="D126" s="55"/>
      <c r="E126" s="54"/>
      <c r="F126" s="56"/>
      <c r="G126" s="54"/>
      <c r="H126" s="54"/>
      <c r="I126" s="14"/>
      <c r="J126" s="14"/>
      <c r="K126" s="15"/>
    </row>
    <row r="127" spans="1:11" s="22" customFormat="1" ht="15" hidden="1" x14ac:dyDescent="0.2">
      <c r="A127" s="53"/>
      <c r="B127" s="37"/>
      <c r="C127" s="54"/>
      <c r="D127" s="55"/>
      <c r="E127" s="54"/>
      <c r="F127" s="56"/>
      <c r="G127" s="54"/>
      <c r="H127" s="54"/>
      <c r="I127" s="14"/>
      <c r="J127" s="14"/>
      <c r="K127" s="15"/>
    </row>
    <row r="128" spans="1:11" s="22" customFormat="1" ht="25.5" x14ac:dyDescent="0.2">
      <c r="A128" s="111" t="s">
        <v>163</v>
      </c>
      <c r="B128" s="37"/>
      <c r="C128" s="54"/>
      <c r="D128" s="57">
        <v>0</v>
      </c>
      <c r="E128" s="54"/>
      <c r="F128" s="56"/>
      <c r="G128" s="54">
        <f>D128/I128</f>
        <v>0</v>
      </c>
      <c r="H128" s="54">
        <f>G128/12</f>
        <v>0</v>
      </c>
      <c r="I128" s="14">
        <v>2564.3000000000002</v>
      </c>
      <c r="J128" s="14"/>
      <c r="K128" s="15"/>
    </row>
    <row r="129" spans="1:14" s="22" customFormat="1" ht="25.5" x14ac:dyDescent="0.2">
      <c r="A129" s="111" t="s">
        <v>145</v>
      </c>
      <c r="B129" s="37"/>
      <c r="C129" s="54"/>
      <c r="D129" s="57">
        <v>0</v>
      </c>
      <c r="E129" s="54"/>
      <c r="F129" s="56"/>
      <c r="G129" s="54">
        <f t="shared" ref="G129:G151" si="12">D129/I129</f>
        <v>0</v>
      </c>
      <c r="H129" s="54">
        <f t="shared" ref="H129:H151" si="13">G129/12</f>
        <v>0</v>
      </c>
      <c r="I129" s="14">
        <v>2564.3000000000002</v>
      </c>
      <c r="J129" s="14"/>
      <c r="K129" s="15"/>
    </row>
    <row r="130" spans="1:14" s="22" customFormat="1" ht="15" hidden="1" x14ac:dyDescent="0.2">
      <c r="A130" s="111" t="s">
        <v>146</v>
      </c>
      <c r="B130" s="37"/>
      <c r="C130" s="54"/>
      <c r="D130" s="55"/>
      <c r="E130" s="54"/>
      <c r="F130" s="56"/>
      <c r="G130" s="54" t="e">
        <f t="shared" si="12"/>
        <v>#DIV/0!</v>
      </c>
      <c r="H130" s="54" t="e">
        <f t="shared" si="13"/>
        <v>#DIV/0!</v>
      </c>
      <c r="I130" s="14"/>
      <c r="J130" s="14"/>
      <c r="K130" s="15"/>
    </row>
    <row r="131" spans="1:14" s="22" customFormat="1" ht="15" hidden="1" x14ac:dyDescent="0.2">
      <c r="A131" s="111" t="s">
        <v>147</v>
      </c>
      <c r="B131" s="37"/>
      <c r="C131" s="54"/>
      <c r="D131" s="55"/>
      <c r="E131" s="54"/>
      <c r="F131" s="56"/>
      <c r="G131" s="54" t="e">
        <f t="shared" si="12"/>
        <v>#DIV/0!</v>
      </c>
      <c r="H131" s="54" t="e">
        <f t="shared" si="13"/>
        <v>#DIV/0!</v>
      </c>
      <c r="I131" s="14"/>
      <c r="J131" s="14"/>
      <c r="K131" s="15"/>
    </row>
    <row r="132" spans="1:14" s="22" customFormat="1" ht="25.5" hidden="1" x14ac:dyDescent="0.2">
      <c r="A132" s="113" t="s">
        <v>148</v>
      </c>
      <c r="B132" s="37"/>
      <c r="C132" s="54"/>
      <c r="D132" s="55"/>
      <c r="E132" s="54"/>
      <c r="F132" s="56"/>
      <c r="G132" s="54" t="e">
        <f t="shared" si="12"/>
        <v>#DIV/0!</v>
      </c>
      <c r="H132" s="54" t="e">
        <f t="shared" si="13"/>
        <v>#DIV/0!</v>
      </c>
      <c r="I132" s="14"/>
      <c r="J132" s="14"/>
      <c r="K132" s="15"/>
    </row>
    <row r="133" spans="1:14" s="22" customFormat="1" ht="15" x14ac:dyDescent="0.2">
      <c r="A133" s="111" t="s">
        <v>146</v>
      </c>
      <c r="B133" s="112"/>
      <c r="C133" s="58"/>
      <c r="D133" s="57">
        <v>0</v>
      </c>
      <c r="E133" s="54"/>
      <c r="F133" s="56"/>
      <c r="G133" s="54">
        <f t="shared" si="12"/>
        <v>0</v>
      </c>
      <c r="H133" s="54">
        <f t="shared" si="13"/>
        <v>0</v>
      </c>
      <c r="I133" s="14">
        <v>2564.3000000000002</v>
      </c>
      <c r="J133" s="14"/>
      <c r="K133" s="15"/>
    </row>
    <row r="134" spans="1:14" s="22" customFormat="1" ht="15" x14ac:dyDescent="0.2">
      <c r="A134" s="111" t="s">
        <v>147</v>
      </c>
      <c r="B134" s="112"/>
      <c r="C134" s="58"/>
      <c r="D134" s="57">
        <v>0</v>
      </c>
      <c r="E134" s="54"/>
      <c r="F134" s="56"/>
      <c r="G134" s="54">
        <f t="shared" si="12"/>
        <v>0</v>
      </c>
      <c r="H134" s="54">
        <f t="shared" si="13"/>
        <v>0</v>
      </c>
      <c r="I134" s="14">
        <v>3045.4</v>
      </c>
      <c r="J134" s="14"/>
      <c r="K134" s="15"/>
    </row>
    <row r="135" spans="1:14" s="22" customFormat="1" ht="15" x14ac:dyDescent="0.2">
      <c r="A135" s="113" t="s">
        <v>149</v>
      </c>
      <c r="B135" s="37"/>
      <c r="C135" s="54"/>
      <c r="D135" s="125">
        <v>10000.39</v>
      </c>
      <c r="E135" s="54"/>
      <c r="F135" s="56"/>
      <c r="G135" s="54">
        <f t="shared" si="12"/>
        <v>3.28</v>
      </c>
      <c r="H135" s="54">
        <f t="shared" si="13"/>
        <v>0.27</v>
      </c>
      <c r="I135" s="14">
        <v>3045.4</v>
      </c>
      <c r="J135" s="14"/>
      <c r="K135" s="15"/>
    </row>
    <row r="136" spans="1:14" s="22" customFormat="1" ht="15" x14ac:dyDescent="0.2">
      <c r="A136" s="113" t="s">
        <v>150</v>
      </c>
      <c r="B136" s="37"/>
      <c r="C136" s="54"/>
      <c r="D136" s="125">
        <v>10987.26</v>
      </c>
      <c r="E136" s="54"/>
      <c r="F136" s="56"/>
      <c r="G136" s="54">
        <f t="shared" si="12"/>
        <v>3.61</v>
      </c>
      <c r="H136" s="54">
        <f t="shared" si="13"/>
        <v>0.3</v>
      </c>
      <c r="I136" s="14">
        <v>3045.4</v>
      </c>
      <c r="J136" s="14"/>
      <c r="K136" s="15"/>
    </row>
    <row r="137" spans="1:14" s="22" customFormat="1" ht="15" x14ac:dyDescent="0.2">
      <c r="A137" s="113" t="s">
        <v>151</v>
      </c>
      <c r="B137" s="37"/>
      <c r="C137" s="54"/>
      <c r="D137" s="125">
        <v>2268.69</v>
      </c>
      <c r="E137" s="54"/>
      <c r="F137" s="56"/>
      <c r="G137" s="54">
        <f t="shared" si="12"/>
        <v>0.74</v>
      </c>
      <c r="H137" s="54">
        <f t="shared" si="13"/>
        <v>0.06</v>
      </c>
      <c r="I137" s="14">
        <v>3045.4</v>
      </c>
      <c r="J137" s="14"/>
      <c r="K137" s="15"/>
    </row>
    <row r="138" spans="1:14" s="22" customFormat="1" ht="15" x14ac:dyDescent="0.2">
      <c r="A138" s="113" t="s">
        <v>152</v>
      </c>
      <c r="B138" s="37"/>
      <c r="C138" s="54"/>
      <c r="D138" s="125">
        <v>3218.1</v>
      </c>
      <c r="E138" s="54"/>
      <c r="F138" s="56"/>
      <c r="G138" s="54">
        <f t="shared" si="12"/>
        <v>1.06</v>
      </c>
      <c r="H138" s="54">
        <f t="shared" si="13"/>
        <v>0.09</v>
      </c>
      <c r="I138" s="14">
        <v>3045.4</v>
      </c>
      <c r="J138" s="14"/>
      <c r="K138" s="15"/>
    </row>
    <row r="139" spans="1:14" s="22" customFormat="1" ht="25.5" x14ac:dyDescent="0.2">
      <c r="A139" s="113" t="s">
        <v>153</v>
      </c>
      <c r="B139" s="37"/>
      <c r="C139" s="54"/>
      <c r="D139" s="57">
        <v>0</v>
      </c>
      <c r="E139" s="54"/>
      <c r="F139" s="56"/>
      <c r="G139" s="54">
        <f t="shared" si="12"/>
        <v>0</v>
      </c>
      <c r="H139" s="54">
        <f t="shared" si="13"/>
        <v>0</v>
      </c>
      <c r="I139" s="14">
        <v>3045.4</v>
      </c>
      <c r="J139" s="14"/>
      <c r="K139" s="15"/>
      <c r="M139" s="23"/>
      <c r="N139" s="23"/>
    </row>
    <row r="140" spans="1:14" s="22" customFormat="1" ht="22.5" customHeight="1" x14ac:dyDescent="0.2">
      <c r="A140" s="113" t="s">
        <v>154</v>
      </c>
      <c r="B140" s="37"/>
      <c r="C140" s="54"/>
      <c r="D140" s="125">
        <v>722.42</v>
      </c>
      <c r="E140" s="54"/>
      <c r="F140" s="56"/>
      <c r="G140" s="54">
        <f t="shared" si="12"/>
        <v>0.24</v>
      </c>
      <c r="H140" s="54">
        <f t="shared" si="13"/>
        <v>0.02</v>
      </c>
      <c r="I140" s="14">
        <v>3045.4</v>
      </c>
      <c r="J140" s="14"/>
      <c r="K140" s="15"/>
    </row>
    <row r="141" spans="1:14" s="22" customFormat="1" ht="15" hidden="1" x14ac:dyDescent="0.2">
      <c r="A141" s="113" t="s">
        <v>128</v>
      </c>
      <c r="B141" s="37"/>
      <c r="C141" s="54"/>
      <c r="D141" s="55"/>
      <c r="E141" s="54"/>
      <c r="F141" s="56"/>
      <c r="G141" s="54">
        <f t="shared" si="12"/>
        <v>0</v>
      </c>
      <c r="H141" s="54">
        <f t="shared" si="13"/>
        <v>0</v>
      </c>
      <c r="I141" s="14">
        <v>3045.4</v>
      </c>
      <c r="J141" s="14"/>
      <c r="K141" s="15"/>
    </row>
    <row r="142" spans="1:14" s="22" customFormat="1" ht="15" hidden="1" x14ac:dyDescent="0.2">
      <c r="A142" s="53"/>
      <c r="B142" s="37"/>
      <c r="C142" s="54"/>
      <c r="D142" s="55"/>
      <c r="E142" s="54"/>
      <c r="F142" s="56"/>
      <c r="G142" s="54">
        <f t="shared" si="12"/>
        <v>0</v>
      </c>
      <c r="H142" s="54">
        <f t="shared" si="13"/>
        <v>0</v>
      </c>
      <c r="I142" s="14">
        <v>3045.4</v>
      </c>
      <c r="J142" s="14"/>
      <c r="K142" s="15"/>
    </row>
    <row r="143" spans="1:14" s="22" customFormat="1" ht="15" x14ac:dyDescent="0.2">
      <c r="A143" s="111" t="s">
        <v>128</v>
      </c>
      <c r="B143" s="37"/>
      <c r="C143" s="54"/>
      <c r="D143" s="57">
        <v>0</v>
      </c>
      <c r="E143" s="54"/>
      <c r="F143" s="56"/>
      <c r="G143" s="54">
        <f t="shared" si="12"/>
        <v>0</v>
      </c>
      <c r="H143" s="54">
        <f t="shared" si="13"/>
        <v>0</v>
      </c>
      <c r="I143" s="14">
        <v>3045.4</v>
      </c>
      <c r="J143" s="14"/>
      <c r="K143" s="15"/>
    </row>
    <row r="144" spans="1:14" s="22" customFormat="1" ht="15" hidden="1" x14ac:dyDescent="0.2">
      <c r="A144" s="53"/>
      <c r="B144" s="37"/>
      <c r="C144" s="54"/>
      <c r="D144" s="57"/>
      <c r="E144" s="54"/>
      <c r="F144" s="56"/>
      <c r="G144" s="54">
        <f t="shared" si="12"/>
        <v>0</v>
      </c>
      <c r="H144" s="54">
        <f t="shared" si="13"/>
        <v>0</v>
      </c>
      <c r="I144" s="14">
        <v>3045.4</v>
      </c>
      <c r="J144" s="14"/>
      <c r="K144" s="15"/>
    </row>
    <row r="145" spans="1:11" s="22" customFormat="1" ht="15" hidden="1" x14ac:dyDescent="0.2">
      <c r="A145" s="53"/>
      <c r="B145" s="37"/>
      <c r="C145" s="54"/>
      <c r="D145" s="57"/>
      <c r="E145" s="54"/>
      <c r="F145" s="56"/>
      <c r="G145" s="54">
        <f t="shared" si="12"/>
        <v>0</v>
      </c>
      <c r="H145" s="54">
        <f t="shared" si="13"/>
        <v>0</v>
      </c>
      <c r="I145" s="14">
        <v>2564.3000000000002</v>
      </c>
      <c r="J145" s="14"/>
      <c r="K145" s="15"/>
    </row>
    <row r="146" spans="1:11" s="22" customFormat="1" ht="15" hidden="1" x14ac:dyDescent="0.2">
      <c r="A146" s="53"/>
      <c r="B146" s="37"/>
      <c r="C146" s="54"/>
      <c r="D146" s="57"/>
      <c r="E146" s="54"/>
      <c r="F146" s="56"/>
      <c r="G146" s="54">
        <f t="shared" si="12"/>
        <v>0</v>
      </c>
      <c r="H146" s="54">
        <f t="shared" si="13"/>
        <v>0</v>
      </c>
      <c r="I146" s="14">
        <v>3045.4</v>
      </c>
      <c r="J146" s="14"/>
      <c r="K146" s="15"/>
    </row>
    <row r="147" spans="1:11" s="22" customFormat="1" ht="16.5" hidden="1" customHeight="1" x14ac:dyDescent="0.2">
      <c r="A147" s="53"/>
      <c r="B147" s="37"/>
      <c r="C147" s="54"/>
      <c r="D147" s="57"/>
      <c r="E147" s="54"/>
      <c r="F147" s="56"/>
      <c r="G147" s="54">
        <f t="shared" si="12"/>
        <v>0</v>
      </c>
      <c r="H147" s="54">
        <f t="shared" si="13"/>
        <v>0</v>
      </c>
      <c r="I147" s="14">
        <v>3045.4</v>
      </c>
      <c r="J147" s="14"/>
      <c r="K147" s="15"/>
    </row>
    <row r="148" spans="1:11" s="22" customFormat="1" ht="16.5" hidden="1" customHeight="1" x14ac:dyDescent="0.2">
      <c r="A148" s="100"/>
      <c r="B148" s="37"/>
      <c r="C148" s="54"/>
      <c r="D148" s="58"/>
      <c r="E148" s="54"/>
      <c r="F148" s="54"/>
      <c r="G148" s="54">
        <f t="shared" si="12"/>
        <v>0</v>
      </c>
      <c r="H148" s="54">
        <f t="shared" si="13"/>
        <v>0</v>
      </c>
      <c r="I148" s="14">
        <v>3045.4</v>
      </c>
      <c r="J148" s="14"/>
      <c r="K148" s="15"/>
    </row>
    <row r="149" spans="1:11" s="22" customFormat="1" ht="16.5" customHeight="1" x14ac:dyDescent="0.2">
      <c r="A149" s="100" t="s">
        <v>164</v>
      </c>
      <c r="B149" s="37"/>
      <c r="C149" s="54"/>
      <c r="D149" s="126">
        <v>29810.880000000001</v>
      </c>
      <c r="E149" s="54"/>
      <c r="F149" s="54"/>
      <c r="G149" s="54">
        <f t="shared" si="12"/>
        <v>9.7899999999999991</v>
      </c>
      <c r="H149" s="54">
        <f t="shared" si="13"/>
        <v>0.82</v>
      </c>
      <c r="I149" s="14">
        <v>3045.4</v>
      </c>
      <c r="J149" s="14"/>
      <c r="K149" s="15"/>
    </row>
    <row r="150" spans="1:11" s="22" customFormat="1" ht="16.5" customHeight="1" x14ac:dyDescent="0.2">
      <c r="A150" s="100" t="s">
        <v>165</v>
      </c>
      <c r="B150" s="37"/>
      <c r="C150" s="54"/>
      <c r="D150" s="126">
        <v>69893.97</v>
      </c>
      <c r="E150" s="54"/>
      <c r="F150" s="54"/>
      <c r="G150" s="54">
        <f t="shared" si="12"/>
        <v>27.26</v>
      </c>
      <c r="H150" s="54">
        <f t="shared" si="13"/>
        <v>2.27</v>
      </c>
      <c r="I150" s="14">
        <v>2564.3000000000002</v>
      </c>
      <c r="J150" s="14"/>
      <c r="K150" s="15"/>
    </row>
    <row r="151" spans="1:11" s="22" customFormat="1" ht="16.5" customHeight="1" x14ac:dyDescent="0.2">
      <c r="A151" s="100" t="s">
        <v>166</v>
      </c>
      <c r="B151" s="37"/>
      <c r="C151" s="54"/>
      <c r="D151" s="126">
        <v>12719.09</v>
      </c>
      <c r="E151" s="54"/>
      <c r="F151" s="54"/>
      <c r="G151" s="54">
        <f t="shared" si="12"/>
        <v>4.96</v>
      </c>
      <c r="H151" s="54">
        <f t="shared" si="13"/>
        <v>0.41</v>
      </c>
      <c r="I151" s="14">
        <v>2564.3000000000002</v>
      </c>
      <c r="J151" s="14"/>
      <c r="K151" s="15"/>
    </row>
    <row r="152" spans="1:11" s="98" customFormat="1" ht="19.5" thickBot="1" x14ac:dyDescent="0.45">
      <c r="A152" s="95"/>
      <c r="B152" s="96"/>
      <c r="C152" s="97"/>
      <c r="D152" s="97"/>
      <c r="E152" s="97"/>
      <c r="F152" s="97"/>
      <c r="G152" s="97"/>
      <c r="H152" s="97"/>
      <c r="K152" s="99"/>
    </row>
    <row r="153" spans="1:11" s="98" customFormat="1" ht="20.25" thickBot="1" x14ac:dyDescent="0.45">
      <c r="A153" s="82" t="s">
        <v>129</v>
      </c>
      <c r="B153" s="101"/>
      <c r="C153" s="101"/>
      <c r="D153" s="102">
        <f>D121+D125</f>
        <v>838078.57</v>
      </c>
      <c r="E153" s="102" t="e">
        <f>E121+E125</f>
        <v>#REF!</v>
      </c>
      <c r="F153" s="102" t="e">
        <f>F121+F125</f>
        <v>#REF!</v>
      </c>
      <c r="G153" s="102">
        <f>G121+G125</f>
        <v>8.93</v>
      </c>
      <c r="H153" s="102">
        <f>H121+H125</f>
        <v>0.74</v>
      </c>
      <c r="K153" s="99"/>
    </row>
    <row r="154" spans="1:11" s="98" customFormat="1" ht="19.5" x14ac:dyDescent="0.4">
      <c r="A154" s="103"/>
      <c r="B154" s="104"/>
      <c r="C154" s="104"/>
      <c r="D154" s="105"/>
      <c r="E154" s="104"/>
      <c r="F154" s="104"/>
      <c r="G154" s="105"/>
      <c r="H154" s="105"/>
      <c r="K154" s="99"/>
    </row>
    <row r="155" spans="1:11" s="98" customFormat="1" ht="19.5" x14ac:dyDescent="0.4">
      <c r="A155" s="103"/>
      <c r="B155" s="104"/>
      <c r="C155" s="104"/>
      <c r="D155" s="105"/>
      <c r="E155" s="104"/>
      <c r="F155" s="104"/>
      <c r="G155" s="105"/>
      <c r="H155" s="105"/>
      <c r="K155" s="99"/>
    </row>
    <row r="156" spans="1:11" s="98" customFormat="1" ht="19.5" x14ac:dyDescent="0.4">
      <c r="A156" s="103"/>
      <c r="B156" s="104"/>
      <c r="C156" s="104"/>
      <c r="D156" s="105"/>
      <c r="E156" s="104"/>
      <c r="F156" s="104"/>
      <c r="G156" s="105"/>
      <c r="H156" s="105"/>
      <c r="K156" s="99"/>
    </row>
    <row r="157" spans="1:11" s="90" customFormat="1" ht="19.5" x14ac:dyDescent="0.2">
      <c r="A157" s="106"/>
      <c r="B157" s="104"/>
      <c r="C157" s="105"/>
      <c r="D157" s="105"/>
      <c r="E157" s="105"/>
      <c r="F157" s="105"/>
      <c r="G157" s="105"/>
      <c r="H157" s="105"/>
      <c r="K157" s="91"/>
    </row>
    <row r="158" spans="1:11" s="93" customFormat="1" ht="14.25" x14ac:dyDescent="0.2">
      <c r="A158" s="142" t="s">
        <v>130</v>
      </c>
      <c r="B158" s="142"/>
      <c r="C158" s="142"/>
      <c r="D158" s="142"/>
      <c r="E158" s="142"/>
      <c r="F158" s="142"/>
      <c r="K158" s="94"/>
    </row>
    <row r="159" spans="1:11" s="93" customFormat="1" x14ac:dyDescent="0.2">
      <c r="K159" s="94"/>
    </row>
    <row r="160" spans="1:11" s="93" customFormat="1" x14ac:dyDescent="0.2">
      <c r="A160" s="92" t="s">
        <v>131</v>
      </c>
      <c r="K160" s="94"/>
    </row>
    <row r="161" spans="11:11" s="93" customFormat="1" x14ac:dyDescent="0.2">
      <c r="K161" s="94"/>
    </row>
    <row r="162" spans="11:11" s="93" customFormat="1" x14ac:dyDescent="0.2">
      <c r="K162" s="94"/>
    </row>
    <row r="163" spans="11:11" s="93" customFormat="1" x14ac:dyDescent="0.2">
      <c r="K163" s="94"/>
    </row>
    <row r="164" spans="11:11" s="93" customFormat="1" x14ac:dyDescent="0.2">
      <c r="K164" s="94"/>
    </row>
    <row r="165" spans="11:11" s="93" customFormat="1" x14ac:dyDescent="0.2">
      <c r="K165" s="94"/>
    </row>
    <row r="166" spans="11:11" s="93" customFormat="1" x14ac:dyDescent="0.2">
      <c r="K166" s="94"/>
    </row>
    <row r="167" spans="11:11" s="93" customFormat="1" x14ac:dyDescent="0.2">
      <c r="K167" s="94"/>
    </row>
    <row r="168" spans="11:11" s="93" customFormat="1" x14ac:dyDescent="0.2">
      <c r="K168" s="94"/>
    </row>
    <row r="169" spans="11:11" s="93" customFormat="1" x14ac:dyDescent="0.2">
      <c r="K169" s="94"/>
    </row>
    <row r="170" spans="11:11" s="93" customFormat="1" x14ac:dyDescent="0.2">
      <c r="K170" s="94"/>
    </row>
    <row r="171" spans="11:11" s="93" customFormat="1" x14ac:dyDescent="0.2">
      <c r="K171" s="94"/>
    </row>
    <row r="172" spans="11:11" s="93" customFormat="1" x14ac:dyDescent="0.2">
      <c r="K172" s="94"/>
    </row>
    <row r="173" spans="11:11" s="93" customFormat="1" x14ac:dyDescent="0.2">
      <c r="K173" s="94"/>
    </row>
    <row r="174" spans="11:11" s="93" customFormat="1" x14ac:dyDescent="0.2">
      <c r="K174" s="94"/>
    </row>
    <row r="175" spans="11:11" s="93" customFormat="1" x14ac:dyDescent="0.2">
      <c r="K175" s="94"/>
    </row>
    <row r="176" spans="11:11" s="93" customFormat="1" x14ac:dyDescent="0.2">
      <c r="K176" s="94"/>
    </row>
    <row r="177" spans="11:11" s="93" customFormat="1" x14ac:dyDescent="0.2">
      <c r="K177" s="94"/>
    </row>
    <row r="178" spans="11:11" s="93" customFormat="1" x14ac:dyDescent="0.2">
      <c r="K178" s="94"/>
    </row>
  </sheetData>
  <mergeCells count="11">
    <mergeCell ref="A8:H8"/>
    <mergeCell ref="A9:H9"/>
    <mergeCell ref="A10:H10"/>
    <mergeCell ref="A13:H13"/>
    <mergeCell ref="A158:F158"/>
    <mergeCell ref="A7:H7"/>
    <mergeCell ref="A1:H1"/>
    <mergeCell ref="B2:H2"/>
    <mergeCell ref="B3:H3"/>
    <mergeCell ref="B5:H5"/>
    <mergeCell ref="A6:H6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topLeftCell="A42" zoomScale="75" workbookViewId="0">
      <selection activeCell="D125" sqref="D12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140625" style="1" customWidth="1"/>
    <col min="5" max="5" width="13.85546875" style="1" hidden="1" customWidth="1"/>
    <col min="6" max="6" width="20.85546875" style="1" hidden="1" customWidth="1"/>
    <col min="7" max="7" width="15.71093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43" t="s">
        <v>0</v>
      </c>
      <c r="B1" s="144"/>
      <c r="C1" s="144"/>
      <c r="D1" s="144"/>
      <c r="E1" s="144"/>
      <c r="F1" s="144"/>
      <c r="G1" s="144"/>
      <c r="H1" s="144"/>
    </row>
    <row r="2" spans="1:12" ht="12.75" customHeight="1" x14ac:dyDescent="0.3">
      <c r="B2" s="145" t="s">
        <v>1</v>
      </c>
      <c r="C2" s="145"/>
      <c r="D2" s="145"/>
      <c r="E2" s="145"/>
      <c r="F2" s="145"/>
      <c r="G2" s="144"/>
      <c r="H2" s="144"/>
    </row>
    <row r="3" spans="1:12" ht="21" customHeight="1" x14ac:dyDescent="0.3">
      <c r="A3" s="3" t="s">
        <v>161</v>
      </c>
      <c r="B3" s="145" t="s">
        <v>2</v>
      </c>
      <c r="C3" s="145"/>
      <c r="D3" s="145"/>
      <c r="E3" s="145"/>
      <c r="F3" s="145"/>
      <c r="G3" s="144"/>
      <c r="H3" s="144"/>
    </row>
    <row r="4" spans="1:12" ht="21" customHeight="1" x14ac:dyDescent="0.3">
      <c r="A4" s="3"/>
      <c r="B4" s="115"/>
      <c r="C4" s="115"/>
      <c r="D4" s="115"/>
      <c r="E4" s="115"/>
      <c r="F4" s="115"/>
      <c r="G4" s="114"/>
      <c r="H4" s="114"/>
    </row>
    <row r="5" spans="1:12" ht="14.25" customHeight="1" x14ac:dyDescent="0.3">
      <c r="B5" s="145" t="s">
        <v>3</v>
      </c>
      <c r="C5" s="145"/>
      <c r="D5" s="145"/>
      <c r="E5" s="145"/>
      <c r="F5" s="145"/>
      <c r="G5" s="144"/>
      <c r="H5" s="144"/>
    </row>
    <row r="6" spans="1:12" ht="18" customHeight="1" x14ac:dyDescent="0.4">
      <c r="A6" s="146"/>
      <c r="B6" s="146"/>
      <c r="C6" s="146"/>
      <c r="D6" s="146"/>
      <c r="E6" s="146"/>
      <c r="F6" s="146"/>
      <c r="G6" s="146"/>
      <c r="H6" s="146"/>
    </row>
    <row r="7" spans="1:12" ht="18" customHeight="1" x14ac:dyDescent="0.2">
      <c r="A7" s="147" t="s">
        <v>162</v>
      </c>
      <c r="B7" s="147"/>
      <c r="C7" s="147"/>
      <c r="D7" s="147"/>
      <c r="E7" s="147"/>
      <c r="F7" s="147"/>
      <c r="G7" s="147"/>
      <c r="H7" s="147"/>
    </row>
    <row r="8" spans="1:12" s="6" customFormat="1" ht="22.5" customHeight="1" x14ac:dyDescent="0.4">
      <c r="A8" s="132" t="s">
        <v>4</v>
      </c>
      <c r="B8" s="132"/>
      <c r="C8" s="132"/>
      <c r="D8" s="132"/>
      <c r="E8" s="133"/>
      <c r="F8" s="133"/>
      <c r="G8" s="133"/>
      <c r="H8" s="133"/>
      <c r="K8" s="7"/>
    </row>
    <row r="9" spans="1:12" s="8" customFormat="1" ht="18.75" customHeight="1" x14ac:dyDescent="0.4">
      <c r="A9" s="132" t="s">
        <v>167</v>
      </c>
      <c r="B9" s="132"/>
      <c r="C9" s="132"/>
      <c r="D9" s="132"/>
      <c r="E9" s="133"/>
      <c r="F9" s="133"/>
      <c r="G9" s="133"/>
      <c r="H9" s="133"/>
    </row>
    <row r="10" spans="1:12" s="9" customFormat="1" ht="17.25" customHeight="1" x14ac:dyDescent="0.2">
      <c r="A10" s="134" t="s">
        <v>5</v>
      </c>
      <c r="B10" s="134"/>
      <c r="C10" s="134"/>
      <c r="D10" s="134"/>
      <c r="E10" s="135"/>
      <c r="F10" s="135"/>
      <c r="G10" s="135"/>
      <c r="H10" s="135"/>
    </row>
    <row r="11" spans="1:12" s="8" customFormat="1" ht="30" customHeight="1" thickBot="1" x14ac:dyDescent="0.25">
      <c r="A11" s="136" t="s">
        <v>6</v>
      </c>
      <c r="B11" s="136"/>
      <c r="C11" s="136"/>
      <c r="D11" s="136"/>
      <c r="E11" s="137"/>
      <c r="F11" s="137"/>
      <c r="G11" s="137"/>
      <c r="H11" s="137"/>
    </row>
    <row r="12" spans="1:12" s="14" customFormat="1" ht="139.5" customHeight="1" thickBot="1" x14ac:dyDescent="0.25">
      <c r="A12" s="10" t="s">
        <v>7</v>
      </c>
      <c r="B12" s="11" t="s">
        <v>8</v>
      </c>
      <c r="C12" s="12" t="s">
        <v>9</v>
      </c>
      <c r="D12" s="12" t="s">
        <v>10</v>
      </c>
      <c r="E12" s="12" t="s">
        <v>9</v>
      </c>
      <c r="F12" s="13" t="s">
        <v>11</v>
      </c>
      <c r="G12" s="12" t="s">
        <v>9</v>
      </c>
      <c r="H12" s="13" t="s">
        <v>11</v>
      </c>
      <c r="K12" s="15"/>
    </row>
    <row r="13" spans="1:12" s="22" customFormat="1" x14ac:dyDescent="0.2">
      <c r="A13" s="16">
        <v>1</v>
      </c>
      <c r="B13" s="17">
        <v>2</v>
      </c>
      <c r="C13" s="17">
        <v>3</v>
      </c>
      <c r="D13" s="18"/>
      <c r="E13" s="17">
        <v>3</v>
      </c>
      <c r="F13" s="19">
        <v>4</v>
      </c>
      <c r="G13" s="20">
        <v>3</v>
      </c>
      <c r="H13" s="21">
        <v>4</v>
      </c>
      <c r="K13" s="23"/>
    </row>
    <row r="14" spans="1:12" s="22" customFormat="1" ht="49.5" customHeight="1" x14ac:dyDescent="0.2">
      <c r="A14" s="138" t="s">
        <v>12</v>
      </c>
      <c r="B14" s="139"/>
      <c r="C14" s="139"/>
      <c r="D14" s="139"/>
      <c r="E14" s="139"/>
      <c r="F14" s="139"/>
      <c r="G14" s="140"/>
      <c r="H14" s="141"/>
      <c r="K14" s="23"/>
    </row>
    <row r="15" spans="1:12" s="14" customFormat="1" ht="15" x14ac:dyDescent="0.2">
      <c r="A15" s="24" t="s">
        <v>140</v>
      </c>
      <c r="B15" s="25" t="s">
        <v>13</v>
      </c>
      <c r="C15" s="26">
        <f>F15*12</f>
        <v>0</v>
      </c>
      <c r="D15" s="38">
        <f>G15*I15</f>
        <v>94161.1</v>
      </c>
      <c r="E15" s="26">
        <f>H15*12</f>
        <v>36.72</v>
      </c>
      <c r="F15" s="39"/>
      <c r="G15" s="26">
        <f>H15*12</f>
        <v>36.72</v>
      </c>
      <c r="H15" s="26">
        <f>H20+H23</f>
        <v>3.06</v>
      </c>
      <c r="I15" s="14">
        <v>2564.3000000000002</v>
      </c>
      <c r="J15" s="14">
        <v>1.07</v>
      </c>
      <c r="K15" s="15">
        <v>2.2400000000000002</v>
      </c>
      <c r="L15" s="14">
        <v>3045.4</v>
      </c>
    </row>
    <row r="16" spans="1:12" s="14" customFormat="1" ht="29.25" customHeight="1" x14ac:dyDescent="0.2">
      <c r="A16" s="30" t="s">
        <v>14</v>
      </c>
      <c r="B16" s="31" t="s">
        <v>15</v>
      </c>
      <c r="C16" s="32"/>
      <c r="D16" s="33"/>
      <c r="E16" s="32"/>
      <c r="F16" s="34"/>
      <c r="G16" s="32"/>
      <c r="H16" s="32"/>
      <c r="K16" s="15"/>
    </row>
    <row r="17" spans="1:11" s="14" customFormat="1" ht="15" x14ac:dyDescent="0.2">
      <c r="A17" s="30" t="s">
        <v>16</v>
      </c>
      <c r="B17" s="31" t="s">
        <v>15</v>
      </c>
      <c r="C17" s="32"/>
      <c r="D17" s="33"/>
      <c r="E17" s="32"/>
      <c r="F17" s="34"/>
      <c r="G17" s="32"/>
      <c r="H17" s="32"/>
      <c r="K17" s="15"/>
    </row>
    <row r="18" spans="1:11" s="14" customFormat="1" ht="15" x14ac:dyDescent="0.2">
      <c r="A18" s="30" t="s">
        <v>17</v>
      </c>
      <c r="B18" s="31" t="s">
        <v>18</v>
      </c>
      <c r="C18" s="32"/>
      <c r="D18" s="33"/>
      <c r="E18" s="32"/>
      <c r="F18" s="34"/>
      <c r="G18" s="32"/>
      <c r="H18" s="32"/>
      <c r="K18" s="15"/>
    </row>
    <row r="19" spans="1:11" s="14" customFormat="1" ht="15" x14ac:dyDescent="0.2">
      <c r="A19" s="30" t="s">
        <v>19</v>
      </c>
      <c r="B19" s="31" t="s">
        <v>15</v>
      </c>
      <c r="C19" s="32"/>
      <c r="D19" s="33"/>
      <c r="E19" s="32"/>
      <c r="F19" s="34"/>
      <c r="G19" s="32"/>
      <c r="H19" s="32"/>
      <c r="K19" s="15"/>
    </row>
    <row r="20" spans="1:11" s="14" customFormat="1" ht="15" x14ac:dyDescent="0.2">
      <c r="A20" s="24" t="s">
        <v>139</v>
      </c>
      <c r="B20" s="31"/>
      <c r="C20" s="32"/>
      <c r="D20" s="33"/>
      <c r="E20" s="32"/>
      <c r="F20" s="34"/>
      <c r="G20" s="32"/>
      <c r="H20" s="26">
        <v>2.83</v>
      </c>
      <c r="K20" s="15"/>
    </row>
    <row r="21" spans="1:11" s="14" customFormat="1" ht="15" x14ac:dyDescent="0.2">
      <c r="A21" s="30" t="s">
        <v>137</v>
      </c>
      <c r="B21" s="31" t="s">
        <v>15</v>
      </c>
      <c r="C21" s="32"/>
      <c r="D21" s="33"/>
      <c r="E21" s="32"/>
      <c r="F21" s="34"/>
      <c r="G21" s="32"/>
      <c r="H21" s="32">
        <v>0.12</v>
      </c>
      <c r="K21" s="15"/>
    </row>
    <row r="22" spans="1:11" s="14" customFormat="1" ht="15" x14ac:dyDescent="0.2">
      <c r="A22" s="30" t="s">
        <v>138</v>
      </c>
      <c r="B22" s="31" t="s">
        <v>15</v>
      </c>
      <c r="C22" s="32"/>
      <c r="D22" s="33"/>
      <c r="E22" s="32"/>
      <c r="F22" s="34"/>
      <c r="G22" s="32"/>
      <c r="H22" s="32">
        <v>0.11</v>
      </c>
      <c r="K22" s="15"/>
    </row>
    <row r="23" spans="1:11" s="14" customFormat="1" ht="15" x14ac:dyDescent="0.2">
      <c r="A23" s="24" t="s">
        <v>139</v>
      </c>
      <c r="B23" s="31"/>
      <c r="C23" s="32"/>
      <c r="D23" s="33"/>
      <c r="E23" s="32"/>
      <c r="F23" s="34"/>
      <c r="G23" s="32"/>
      <c r="H23" s="26">
        <f>H21+H22</f>
        <v>0.23</v>
      </c>
      <c r="K23" s="15"/>
    </row>
    <row r="24" spans="1:11" s="14" customFormat="1" ht="30" x14ac:dyDescent="0.2">
      <c r="A24" s="24" t="s">
        <v>20</v>
      </c>
      <c r="B24" s="35"/>
      <c r="C24" s="26">
        <f>F24*12</f>
        <v>0</v>
      </c>
      <c r="D24" s="38">
        <v>13768.65</v>
      </c>
      <c r="E24" s="26">
        <f>H24*12</f>
        <v>5.4</v>
      </c>
      <c r="F24" s="39"/>
      <c r="G24" s="26">
        <f>D24/I24</f>
        <v>5.37</v>
      </c>
      <c r="H24" s="26">
        <f>G24/12</f>
        <v>0.45</v>
      </c>
      <c r="I24" s="14">
        <v>2564.3000000000002</v>
      </c>
      <c r="J24" s="14">
        <v>1.07</v>
      </c>
      <c r="K24" s="15">
        <v>1.27</v>
      </c>
    </row>
    <row r="25" spans="1:11" s="14" customFormat="1" ht="15" x14ac:dyDescent="0.2">
      <c r="A25" s="36" t="s">
        <v>21</v>
      </c>
      <c r="B25" s="37" t="s">
        <v>22</v>
      </c>
      <c r="C25" s="26"/>
      <c r="D25" s="38"/>
      <c r="E25" s="26"/>
      <c r="F25" s="39"/>
      <c r="G25" s="26"/>
      <c r="H25" s="26"/>
      <c r="K25" s="15"/>
    </row>
    <row r="26" spans="1:11" s="14" customFormat="1" ht="15" x14ac:dyDescent="0.2">
      <c r="A26" s="36" t="s">
        <v>23</v>
      </c>
      <c r="B26" s="37" t="s">
        <v>22</v>
      </c>
      <c r="C26" s="26"/>
      <c r="D26" s="38"/>
      <c r="E26" s="26"/>
      <c r="F26" s="39"/>
      <c r="G26" s="26"/>
      <c r="H26" s="26"/>
      <c r="K26" s="15"/>
    </row>
    <row r="27" spans="1:11" s="14" customFormat="1" ht="15" x14ac:dyDescent="0.2">
      <c r="A27" s="40" t="s">
        <v>24</v>
      </c>
      <c r="B27" s="41" t="s">
        <v>25</v>
      </c>
      <c r="C27" s="26"/>
      <c r="D27" s="38"/>
      <c r="E27" s="26"/>
      <c r="F27" s="39"/>
      <c r="G27" s="26"/>
      <c r="H27" s="26"/>
      <c r="K27" s="15"/>
    </row>
    <row r="28" spans="1:11" s="14" customFormat="1" ht="15" x14ac:dyDescent="0.2">
      <c r="A28" s="36" t="s">
        <v>26</v>
      </c>
      <c r="B28" s="37" t="s">
        <v>22</v>
      </c>
      <c r="C28" s="26"/>
      <c r="D28" s="38"/>
      <c r="E28" s="26"/>
      <c r="F28" s="39"/>
      <c r="G28" s="26"/>
      <c r="H28" s="26"/>
      <c r="K28" s="15"/>
    </row>
    <row r="29" spans="1:11" s="14" customFormat="1" ht="25.5" x14ac:dyDescent="0.2">
      <c r="A29" s="36" t="s">
        <v>27</v>
      </c>
      <c r="B29" s="37" t="s">
        <v>28</v>
      </c>
      <c r="C29" s="26"/>
      <c r="D29" s="38"/>
      <c r="E29" s="26"/>
      <c r="F29" s="39"/>
      <c r="G29" s="26"/>
      <c r="H29" s="26"/>
      <c r="K29" s="15"/>
    </row>
    <row r="30" spans="1:11" s="14" customFormat="1" ht="15" x14ac:dyDescent="0.2">
      <c r="A30" s="36" t="s">
        <v>29</v>
      </c>
      <c r="B30" s="37" t="s">
        <v>22</v>
      </c>
      <c r="C30" s="26"/>
      <c r="D30" s="38"/>
      <c r="E30" s="26"/>
      <c r="F30" s="39"/>
      <c r="G30" s="26"/>
      <c r="H30" s="26"/>
      <c r="K30" s="15"/>
    </row>
    <row r="31" spans="1:11" s="14" customFormat="1" ht="15" x14ac:dyDescent="0.2">
      <c r="A31" s="42" t="s">
        <v>30</v>
      </c>
      <c r="B31" s="43" t="s">
        <v>22</v>
      </c>
      <c r="C31" s="26"/>
      <c r="D31" s="38"/>
      <c r="E31" s="26"/>
      <c r="F31" s="39"/>
      <c r="G31" s="26"/>
      <c r="H31" s="26"/>
      <c r="K31" s="15"/>
    </row>
    <row r="32" spans="1:11" s="14" customFormat="1" ht="26.25" thickBot="1" x14ac:dyDescent="0.25">
      <c r="A32" s="44" t="s">
        <v>31</v>
      </c>
      <c r="B32" s="45" t="s">
        <v>32</v>
      </c>
      <c r="C32" s="26"/>
      <c r="D32" s="38"/>
      <c r="E32" s="26"/>
      <c r="F32" s="39"/>
      <c r="G32" s="26"/>
      <c r="H32" s="26"/>
      <c r="K32" s="15"/>
    </row>
    <row r="33" spans="1:12" s="47" customFormat="1" ht="21" customHeight="1" x14ac:dyDescent="0.2">
      <c r="A33" s="46" t="s">
        <v>33</v>
      </c>
      <c r="B33" s="25" t="s">
        <v>34</v>
      </c>
      <c r="C33" s="26">
        <f>F33*12</f>
        <v>0</v>
      </c>
      <c r="D33" s="38">
        <f>G33*I33</f>
        <v>23078.7</v>
      </c>
      <c r="E33" s="26">
        <f>H33*12</f>
        <v>9</v>
      </c>
      <c r="F33" s="48"/>
      <c r="G33" s="26">
        <f>H33*12</f>
        <v>9</v>
      </c>
      <c r="H33" s="26">
        <v>0.75</v>
      </c>
      <c r="I33" s="14">
        <v>2564.3000000000002</v>
      </c>
      <c r="J33" s="14">
        <v>1.07</v>
      </c>
      <c r="K33" s="15">
        <v>0.6</v>
      </c>
      <c r="L33" s="47">
        <v>3045.4</v>
      </c>
    </row>
    <row r="34" spans="1:12" s="14" customFormat="1" ht="15" x14ac:dyDescent="0.2">
      <c r="A34" s="46" t="s">
        <v>35</v>
      </c>
      <c r="B34" s="25" t="s">
        <v>36</v>
      </c>
      <c r="C34" s="26">
        <f>F34*12</f>
        <v>0</v>
      </c>
      <c r="D34" s="38">
        <f>G34*I34</f>
        <v>75390.42</v>
      </c>
      <c r="E34" s="26">
        <f>H34*12</f>
        <v>29.4</v>
      </c>
      <c r="F34" s="48"/>
      <c r="G34" s="26">
        <f>H34*12</f>
        <v>29.4</v>
      </c>
      <c r="H34" s="26">
        <v>2.4500000000000002</v>
      </c>
      <c r="I34" s="14">
        <v>2564.3000000000002</v>
      </c>
      <c r="J34" s="14">
        <v>1.07</v>
      </c>
      <c r="K34" s="15">
        <v>1.94</v>
      </c>
      <c r="L34" s="14">
        <v>3045.4</v>
      </c>
    </row>
    <row r="35" spans="1:12" s="14" customFormat="1" ht="15" x14ac:dyDescent="0.2">
      <c r="A35" s="46" t="s">
        <v>37</v>
      </c>
      <c r="B35" s="25" t="s">
        <v>22</v>
      </c>
      <c r="C35" s="26">
        <f>F35*12</f>
        <v>0</v>
      </c>
      <c r="D35" s="38">
        <f>G35*I35</f>
        <v>47080.55</v>
      </c>
      <c r="E35" s="26">
        <f>H35*12</f>
        <v>18.36</v>
      </c>
      <c r="F35" s="48"/>
      <c r="G35" s="26">
        <f>H35*12</f>
        <v>18.36</v>
      </c>
      <c r="H35" s="26">
        <v>1.53</v>
      </c>
      <c r="I35" s="14">
        <v>2564.3000000000002</v>
      </c>
      <c r="J35" s="14">
        <v>1.07</v>
      </c>
      <c r="K35" s="15">
        <v>1.21</v>
      </c>
    </row>
    <row r="36" spans="1:12" s="14" customFormat="1" ht="15" hidden="1" x14ac:dyDescent="0.2">
      <c r="A36" s="36" t="s">
        <v>38</v>
      </c>
      <c r="B36" s="37" t="s">
        <v>39</v>
      </c>
      <c r="C36" s="26"/>
      <c r="D36" s="38"/>
      <c r="E36" s="26"/>
      <c r="F36" s="48"/>
      <c r="G36" s="26">
        <f t="shared" ref="G36:G40" si="0">D36/I36</f>
        <v>0</v>
      </c>
      <c r="H36" s="26">
        <f t="shared" ref="H36:H54" si="1">G36/12</f>
        <v>0</v>
      </c>
      <c r="I36" s="14">
        <v>2564.3000000000002</v>
      </c>
      <c r="J36" s="14">
        <v>1.07</v>
      </c>
      <c r="K36" s="15">
        <v>0</v>
      </c>
    </row>
    <row r="37" spans="1:12" s="14" customFormat="1" ht="15" hidden="1" x14ac:dyDescent="0.2">
      <c r="A37" s="36" t="s">
        <v>40</v>
      </c>
      <c r="B37" s="37" t="s">
        <v>41</v>
      </c>
      <c r="C37" s="26"/>
      <c r="D37" s="38"/>
      <c r="E37" s="26"/>
      <c r="F37" s="48"/>
      <c r="G37" s="26">
        <f t="shared" si="0"/>
        <v>0</v>
      </c>
      <c r="H37" s="26">
        <f t="shared" si="1"/>
        <v>0</v>
      </c>
      <c r="I37" s="14">
        <v>2564.3000000000002</v>
      </c>
      <c r="J37" s="14">
        <v>1.07</v>
      </c>
      <c r="K37" s="15">
        <v>0</v>
      </c>
    </row>
    <row r="38" spans="1:12" s="14" customFormat="1" ht="15" hidden="1" x14ac:dyDescent="0.2">
      <c r="A38" s="36" t="s">
        <v>42</v>
      </c>
      <c r="B38" s="37" t="s">
        <v>41</v>
      </c>
      <c r="C38" s="26"/>
      <c r="D38" s="38"/>
      <c r="E38" s="26"/>
      <c r="F38" s="48"/>
      <c r="G38" s="26">
        <f t="shared" si="0"/>
        <v>0</v>
      </c>
      <c r="H38" s="26">
        <f t="shared" si="1"/>
        <v>0</v>
      </c>
      <c r="I38" s="14">
        <v>2564.3000000000002</v>
      </c>
      <c r="J38" s="14">
        <v>1.07</v>
      </c>
      <c r="K38" s="15">
        <v>0</v>
      </c>
    </row>
    <row r="39" spans="1:12" s="14" customFormat="1" ht="15" hidden="1" x14ac:dyDescent="0.2">
      <c r="A39" s="36" t="s">
        <v>43</v>
      </c>
      <c r="B39" s="37" t="s">
        <v>44</v>
      </c>
      <c r="C39" s="26"/>
      <c r="D39" s="38"/>
      <c r="E39" s="26"/>
      <c r="F39" s="48"/>
      <c r="G39" s="26">
        <f t="shared" si="0"/>
        <v>0</v>
      </c>
      <c r="H39" s="26">
        <f t="shared" si="1"/>
        <v>0</v>
      </c>
      <c r="I39" s="14">
        <v>2564.3000000000002</v>
      </c>
      <c r="J39" s="14">
        <v>1.07</v>
      </c>
      <c r="K39" s="15">
        <v>0</v>
      </c>
    </row>
    <row r="40" spans="1:12" s="14" customFormat="1" ht="25.5" hidden="1" x14ac:dyDescent="0.2">
      <c r="A40" s="36" t="s">
        <v>45</v>
      </c>
      <c r="B40" s="37" t="s">
        <v>28</v>
      </c>
      <c r="C40" s="26"/>
      <c r="D40" s="38"/>
      <c r="E40" s="26"/>
      <c r="F40" s="48"/>
      <c r="G40" s="26">
        <f t="shared" si="0"/>
        <v>0</v>
      </c>
      <c r="H40" s="26">
        <f t="shared" si="1"/>
        <v>0</v>
      </c>
      <c r="I40" s="14">
        <v>2564.3000000000002</v>
      </c>
      <c r="J40" s="14">
        <v>1.07</v>
      </c>
      <c r="K40" s="15">
        <v>0</v>
      </c>
    </row>
    <row r="41" spans="1:12" s="14" customFormat="1" ht="45" x14ac:dyDescent="0.2">
      <c r="A41" s="46" t="s">
        <v>46</v>
      </c>
      <c r="B41" s="25" t="s">
        <v>141</v>
      </c>
      <c r="C41" s="26"/>
      <c r="D41" s="38">
        <f>3407.5*1.105</f>
        <v>3765.29</v>
      </c>
      <c r="E41" s="26"/>
      <c r="F41" s="48"/>
      <c r="G41" s="26">
        <f>D41/I41</f>
        <v>1.47</v>
      </c>
      <c r="H41" s="26">
        <f>G41/12</f>
        <v>0.12</v>
      </c>
      <c r="I41" s="14">
        <v>2564.3000000000002</v>
      </c>
      <c r="K41" s="15"/>
    </row>
    <row r="42" spans="1:12" s="14" customFormat="1" ht="20.25" customHeight="1" x14ac:dyDescent="0.2">
      <c r="A42" s="46" t="s">
        <v>47</v>
      </c>
      <c r="B42" s="25" t="s">
        <v>22</v>
      </c>
      <c r="C42" s="26">
        <f>F42*12</f>
        <v>0</v>
      </c>
      <c r="D42" s="38">
        <f>G42*I42</f>
        <v>54465.73</v>
      </c>
      <c r="E42" s="26">
        <f>H42*12</f>
        <v>21.24</v>
      </c>
      <c r="F42" s="48"/>
      <c r="G42" s="26">
        <f>H42*12</f>
        <v>21.24</v>
      </c>
      <c r="H42" s="26">
        <v>1.77</v>
      </c>
      <c r="I42" s="14">
        <v>2564.3000000000002</v>
      </c>
      <c r="J42" s="14">
        <v>1.07</v>
      </c>
      <c r="K42" s="15">
        <v>1.4</v>
      </c>
    </row>
    <row r="43" spans="1:12" s="14" customFormat="1" ht="15" hidden="1" x14ac:dyDescent="0.2">
      <c r="A43" s="36" t="s">
        <v>48</v>
      </c>
      <c r="B43" s="37" t="s">
        <v>41</v>
      </c>
      <c r="C43" s="26"/>
      <c r="D43" s="38">
        <f t="shared" ref="D43:D48" ca="1" si="2">G43*I43</f>
        <v>49234.559999999998</v>
      </c>
      <c r="E43" s="26">
        <f t="shared" ref="E43:E48" ca="1" si="3">H43*12</f>
        <v>19.2</v>
      </c>
      <c r="F43" s="48"/>
      <c r="G43" s="26">
        <f t="shared" ref="G43:G48" ca="1" si="4">H43*12</f>
        <v>19.2</v>
      </c>
      <c r="H43" s="26">
        <f t="shared" ca="1" si="1"/>
        <v>0</v>
      </c>
      <c r="J43" s="14">
        <v>1.07</v>
      </c>
      <c r="K43" s="15">
        <v>0</v>
      </c>
    </row>
    <row r="44" spans="1:12" s="14" customFormat="1" ht="15" hidden="1" x14ac:dyDescent="0.2">
      <c r="A44" s="36" t="s">
        <v>49</v>
      </c>
      <c r="B44" s="37" t="s">
        <v>44</v>
      </c>
      <c r="C44" s="26"/>
      <c r="D44" s="38">
        <f t="shared" ca="1" si="2"/>
        <v>49234.559999999998</v>
      </c>
      <c r="E44" s="26">
        <f t="shared" ca="1" si="3"/>
        <v>19.2</v>
      </c>
      <c r="F44" s="48"/>
      <c r="G44" s="26">
        <f t="shared" ca="1" si="4"/>
        <v>19.2</v>
      </c>
      <c r="H44" s="26">
        <f t="shared" ca="1" si="1"/>
        <v>0</v>
      </c>
      <c r="J44" s="14">
        <v>1.07</v>
      </c>
      <c r="K44" s="15">
        <v>0</v>
      </c>
    </row>
    <row r="45" spans="1:12" s="14" customFormat="1" ht="25.5" hidden="1" x14ac:dyDescent="0.2">
      <c r="A45" s="36" t="s">
        <v>50</v>
      </c>
      <c r="B45" s="37" t="s">
        <v>51</v>
      </c>
      <c r="C45" s="26"/>
      <c r="D45" s="38">
        <f t="shared" ca="1" si="2"/>
        <v>49234.559999999998</v>
      </c>
      <c r="E45" s="26">
        <f t="shared" ca="1" si="3"/>
        <v>19.2</v>
      </c>
      <c r="F45" s="48"/>
      <c r="G45" s="26">
        <f t="shared" ca="1" si="4"/>
        <v>19.2</v>
      </c>
      <c r="H45" s="26">
        <f t="shared" ca="1" si="1"/>
        <v>0</v>
      </c>
      <c r="J45" s="14">
        <v>1.07</v>
      </c>
      <c r="K45" s="15">
        <v>0</v>
      </c>
    </row>
    <row r="46" spans="1:12" s="14" customFormat="1" ht="15" hidden="1" x14ac:dyDescent="0.2">
      <c r="A46" s="36" t="s">
        <v>52</v>
      </c>
      <c r="B46" s="37" t="s">
        <v>53</v>
      </c>
      <c r="C46" s="26"/>
      <c r="D46" s="38">
        <f t="shared" ca="1" si="2"/>
        <v>49234.559999999998</v>
      </c>
      <c r="E46" s="26">
        <f t="shared" ca="1" si="3"/>
        <v>19.2</v>
      </c>
      <c r="F46" s="48"/>
      <c r="G46" s="26">
        <f t="shared" ca="1" si="4"/>
        <v>19.2</v>
      </c>
      <c r="H46" s="26">
        <f t="shared" ca="1" si="1"/>
        <v>0</v>
      </c>
      <c r="J46" s="14">
        <v>1.07</v>
      </c>
      <c r="K46" s="15">
        <v>0</v>
      </c>
    </row>
    <row r="47" spans="1:12" s="14" customFormat="1" ht="15" hidden="1" x14ac:dyDescent="0.2">
      <c r="A47" s="36" t="s">
        <v>54</v>
      </c>
      <c r="B47" s="37" t="s">
        <v>44</v>
      </c>
      <c r="C47" s="26"/>
      <c r="D47" s="38">
        <f t="shared" ca="1" si="2"/>
        <v>49234.559999999998</v>
      </c>
      <c r="E47" s="26">
        <f t="shared" ca="1" si="3"/>
        <v>19.2</v>
      </c>
      <c r="F47" s="48"/>
      <c r="G47" s="26">
        <f t="shared" ca="1" si="4"/>
        <v>19.2</v>
      </c>
      <c r="H47" s="26">
        <f t="shared" ca="1" si="1"/>
        <v>0</v>
      </c>
      <c r="J47" s="14">
        <v>1.07</v>
      </c>
      <c r="K47" s="15">
        <v>0</v>
      </c>
    </row>
    <row r="48" spans="1:12" s="14" customFormat="1" ht="28.5" x14ac:dyDescent="0.2">
      <c r="A48" s="46" t="s">
        <v>55</v>
      </c>
      <c r="B48" s="49" t="s">
        <v>56</v>
      </c>
      <c r="C48" s="26">
        <f>F48*12</f>
        <v>0</v>
      </c>
      <c r="D48" s="38">
        <f t="shared" si="2"/>
        <v>116008.93</v>
      </c>
      <c r="E48" s="26">
        <f t="shared" si="3"/>
        <v>45.24</v>
      </c>
      <c r="F48" s="48"/>
      <c r="G48" s="26">
        <f t="shared" si="4"/>
        <v>45.24</v>
      </c>
      <c r="H48" s="26">
        <v>3.77</v>
      </c>
      <c r="I48" s="14">
        <v>2564.3000000000002</v>
      </c>
      <c r="J48" s="14">
        <v>1.07</v>
      </c>
      <c r="K48" s="15">
        <v>2.99</v>
      </c>
    </row>
    <row r="49" spans="1:14" s="22" customFormat="1" ht="30" x14ac:dyDescent="0.2">
      <c r="A49" s="46" t="s">
        <v>57</v>
      </c>
      <c r="B49" s="25" t="s">
        <v>13</v>
      </c>
      <c r="C49" s="50"/>
      <c r="D49" s="38">
        <f>2042.21*I49/L49</f>
        <v>1719.59</v>
      </c>
      <c r="E49" s="50"/>
      <c r="F49" s="48"/>
      <c r="G49" s="26">
        <f t="shared" ref="G49:G54" si="5">D49/I49</f>
        <v>0.67</v>
      </c>
      <c r="H49" s="26">
        <f t="shared" si="1"/>
        <v>0.06</v>
      </c>
      <c r="I49" s="14">
        <v>2564.3000000000002</v>
      </c>
      <c r="J49" s="14">
        <v>1.07</v>
      </c>
      <c r="K49" s="15">
        <v>0.04</v>
      </c>
      <c r="L49" s="22">
        <v>3045.4</v>
      </c>
    </row>
    <row r="50" spans="1:14" s="22" customFormat="1" ht="30.75" customHeight="1" x14ac:dyDescent="0.2">
      <c r="A50" s="46" t="s">
        <v>58</v>
      </c>
      <c r="B50" s="25" t="s">
        <v>13</v>
      </c>
      <c r="C50" s="50"/>
      <c r="D50" s="38">
        <f>2042.21*I50/L50</f>
        <v>1719.59</v>
      </c>
      <c r="E50" s="50"/>
      <c r="F50" s="48"/>
      <c r="G50" s="26">
        <f t="shared" si="5"/>
        <v>0.67</v>
      </c>
      <c r="H50" s="26">
        <f t="shared" si="1"/>
        <v>0.06</v>
      </c>
      <c r="I50" s="14">
        <v>2564.3000000000002</v>
      </c>
      <c r="J50" s="14">
        <v>1.07</v>
      </c>
      <c r="K50" s="15">
        <v>0.04</v>
      </c>
      <c r="L50" s="22">
        <v>3045.4</v>
      </c>
    </row>
    <row r="51" spans="1:14" s="22" customFormat="1" ht="18.75" customHeight="1" x14ac:dyDescent="0.2">
      <c r="A51" s="46" t="s">
        <v>59</v>
      </c>
      <c r="B51" s="25" t="s">
        <v>13</v>
      </c>
      <c r="C51" s="50"/>
      <c r="D51" s="38">
        <f>12896.1*I51/L51</f>
        <v>10858.83</v>
      </c>
      <c r="E51" s="50"/>
      <c r="F51" s="48"/>
      <c r="G51" s="26">
        <f t="shared" si="5"/>
        <v>4.2300000000000004</v>
      </c>
      <c r="H51" s="26">
        <f t="shared" si="1"/>
        <v>0.35</v>
      </c>
      <c r="I51" s="14">
        <v>2564.3000000000002</v>
      </c>
      <c r="J51" s="14">
        <v>1.07</v>
      </c>
      <c r="K51" s="15">
        <v>0.28000000000000003</v>
      </c>
      <c r="L51" s="22">
        <v>3045.4</v>
      </c>
    </row>
    <row r="52" spans="1:14" s="22" customFormat="1" ht="30" hidden="1" x14ac:dyDescent="0.2">
      <c r="A52" s="46" t="s">
        <v>60</v>
      </c>
      <c r="B52" s="25" t="s">
        <v>28</v>
      </c>
      <c r="C52" s="50"/>
      <c r="D52" s="38">
        <f ca="1">G52*I52</f>
        <v>0</v>
      </c>
      <c r="E52" s="50"/>
      <c r="F52" s="48"/>
      <c r="G52" s="26">
        <f t="shared" ca="1" si="5"/>
        <v>3.59</v>
      </c>
      <c r="H52" s="26">
        <f t="shared" ca="1" si="1"/>
        <v>0.3</v>
      </c>
      <c r="I52" s="14">
        <v>2564.3000000000002</v>
      </c>
      <c r="J52" s="14">
        <v>1.07</v>
      </c>
      <c r="K52" s="15">
        <v>0</v>
      </c>
    </row>
    <row r="53" spans="1:14" s="22" customFormat="1" ht="30" hidden="1" x14ac:dyDescent="0.2">
      <c r="A53" s="46" t="s">
        <v>61</v>
      </c>
      <c r="B53" s="25" t="s">
        <v>28</v>
      </c>
      <c r="C53" s="50"/>
      <c r="D53" s="38">
        <f ca="1">G53*I53</f>
        <v>0</v>
      </c>
      <c r="E53" s="50"/>
      <c r="F53" s="48"/>
      <c r="G53" s="26">
        <f t="shared" ca="1" si="5"/>
        <v>3.59</v>
      </c>
      <c r="H53" s="26">
        <f t="shared" ca="1" si="1"/>
        <v>0.3</v>
      </c>
      <c r="I53" s="14">
        <v>2564.3000000000002</v>
      </c>
      <c r="J53" s="14">
        <v>1.07</v>
      </c>
      <c r="K53" s="15">
        <v>0</v>
      </c>
    </row>
    <row r="54" spans="1:14" s="22" customFormat="1" ht="30" hidden="1" x14ac:dyDescent="0.2">
      <c r="A54" s="46" t="s">
        <v>62</v>
      </c>
      <c r="B54" s="25" t="s">
        <v>28</v>
      </c>
      <c r="C54" s="50"/>
      <c r="D54" s="38">
        <f ca="1">G54*I54</f>
        <v>0</v>
      </c>
      <c r="E54" s="50"/>
      <c r="F54" s="48"/>
      <c r="G54" s="26">
        <f t="shared" ca="1" si="5"/>
        <v>3.59</v>
      </c>
      <c r="H54" s="26">
        <f t="shared" ca="1" si="1"/>
        <v>0.3</v>
      </c>
      <c r="I54" s="14">
        <v>2564.3000000000002</v>
      </c>
      <c r="J54" s="14">
        <v>1.07</v>
      </c>
      <c r="K54" s="15">
        <v>0</v>
      </c>
    </row>
    <row r="55" spans="1:14" s="22" customFormat="1" ht="30" x14ac:dyDescent="0.2">
      <c r="A55" s="46" t="s">
        <v>63</v>
      </c>
      <c r="B55" s="25"/>
      <c r="C55" s="50">
        <f>F55*12</f>
        <v>0</v>
      </c>
      <c r="D55" s="38">
        <f>G55*I55</f>
        <v>6462.04</v>
      </c>
      <c r="E55" s="50">
        <f>H55*12</f>
        <v>2.52</v>
      </c>
      <c r="F55" s="48"/>
      <c r="G55" s="26">
        <f>H55*12</f>
        <v>2.52</v>
      </c>
      <c r="H55" s="26">
        <v>0.21</v>
      </c>
      <c r="I55" s="14">
        <v>2564.3000000000002</v>
      </c>
      <c r="J55" s="14">
        <v>1.07</v>
      </c>
      <c r="K55" s="15">
        <v>0.14000000000000001</v>
      </c>
    </row>
    <row r="56" spans="1:14" s="14" customFormat="1" ht="15" x14ac:dyDescent="0.2">
      <c r="A56" s="46" t="s">
        <v>64</v>
      </c>
      <c r="B56" s="25" t="s">
        <v>65</v>
      </c>
      <c r="C56" s="50">
        <f>F56*12</f>
        <v>0</v>
      </c>
      <c r="D56" s="38">
        <f>G56*I56</f>
        <v>1846.3</v>
      </c>
      <c r="E56" s="50">
        <f>H56*12</f>
        <v>0.72</v>
      </c>
      <c r="F56" s="48"/>
      <c r="G56" s="26">
        <f>H56*12</f>
        <v>0.72</v>
      </c>
      <c r="H56" s="26">
        <v>0.06</v>
      </c>
      <c r="I56" s="14">
        <v>2564.3000000000002</v>
      </c>
      <c r="J56" s="14">
        <v>1.07</v>
      </c>
      <c r="K56" s="15">
        <v>0.03</v>
      </c>
      <c r="L56" s="14">
        <v>3045.4</v>
      </c>
    </row>
    <row r="57" spans="1:14" s="14" customFormat="1" ht="15" x14ac:dyDescent="0.2">
      <c r="A57" s="46" t="s">
        <v>66</v>
      </c>
      <c r="B57" s="51" t="s">
        <v>67</v>
      </c>
      <c r="C57" s="52">
        <f>F57*12</f>
        <v>0</v>
      </c>
      <c r="D57" s="38">
        <f t="shared" ref="D57:D58" si="6">G57*I57</f>
        <v>1230.8599999999999</v>
      </c>
      <c r="E57" s="50">
        <f t="shared" ref="E57:E58" si="7">H57*12</f>
        <v>0.48</v>
      </c>
      <c r="F57" s="48"/>
      <c r="G57" s="26">
        <f t="shared" ref="G57:G58" si="8">H57*12</f>
        <v>0.48</v>
      </c>
      <c r="H57" s="26">
        <v>0.04</v>
      </c>
      <c r="I57" s="14">
        <v>2564.3000000000002</v>
      </c>
      <c r="J57" s="14">
        <v>1.07</v>
      </c>
      <c r="K57" s="15">
        <v>0.02</v>
      </c>
      <c r="L57" s="14">
        <v>3045.4</v>
      </c>
    </row>
    <row r="58" spans="1:14" s="47" customFormat="1" ht="30" x14ac:dyDescent="0.2">
      <c r="A58" s="46" t="s">
        <v>68</v>
      </c>
      <c r="B58" s="25" t="s">
        <v>69</v>
      </c>
      <c r="C58" s="50">
        <f>F58*12</f>
        <v>0</v>
      </c>
      <c r="D58" s="38">
        <f t="shared" si="6"/>
        <v>1538.58</v>
      </c>
      <c r="E58" s="50">
        <f t="shared" si="7"/>
        <v>0.6</v>
      </c>
      <c r="F58" s="48"/>
      <c r="G58" s="26">
        <f t="shared" si="8"/>
        <v>0.6</v>
      </c>
      <c r="H58" s="26">
        <v>0.05</v>
      </c>
      <c r="I58" s="14">
        <v>2564.3000000000002</v>
      </c>
      <c r="J58" s="14">
        <v>1.07</v>
      </c>
      <c r="K58" s="15">
        <v>0.03</v>
      </c>
      <c r="L58" s="47">
        <v>3045.4</v>
      </c>
    </row>
    <row r="59" spans="1:14" s="47" customFormat="1" ht="15" x14ac:dyDescent="0.2">
      <c r="A59" s="46" t="s">
        <v>70</v>
      </c>
      <c r="B59" s="25"/>
      <c r="C59" s="26"/>
      <c r="D59" s="26">
        <f>D61+D62+D63+D64+D65+D66+D67+D68+D70+D69</f>
        <v>20459.03</v>
      </c>
      <c r="E59" s="26" t="e">
        <f>E61+E62+#REF!+E64+E65+E66+E67+E68+E69+E70+#REF!+#REF!</f>
        <v>#REF!</v>
      </c>
      <c r="F59" s="26" t="e">
        <f>F61+F62+#REF!+F64+F65+F66+F67+F68+F69+F70+#REF!+#REF!</f>
        <v>#REF!</v>
      </c>
      <c r="G59" s="26">
        <f>D59/I59</f>
        <v>7.98</v>
      </c>
      <c r="H59" s="26">
        <f>G59/12</f>
        <v>0.67</v>
      </c>
      <c r="I59" s="14">
        <v>2564.3000000000002</v>
      </c>
      <c r="J59" s="14">
        <v>1.07</v>
      </c>
      <c r="K59" s="15">
        <v>0.71</v>
      </c>
    </row>
    <row r="60" spans="1:14" s="22" customFormat="1" ht="15" hidden="1" x14ac:dyDescent="0.2">
      <c r="A60" s="53"/>
      <c r="B60" s="37"/>
      <c r="C60" s="54"/>
      <c r="D60" s="55"/>
      <c r="E60" s="54"/>
      <c r="F60" s="56"/>
      <c r="G60" s="54"/>
      <c r="H60" s="54"/>
      <c r="I60" s="14"/>
      <c r="J60" s="14"/>
      <c r="K60" s="15"/>
      <c r="M60" s="47"/>
      <c r="N60" s="47"/>
    </row>
    <row r="61" spans="1:14" s="22" customFormat="1" ht="15" x14ac:dyDescent="0.2">
      <c r="A61" s="53" t="s">
        <v>71</v>
      </c>
      <c r="B61" s="37" t="s">
        <v>51</v>
      </c>
      <c r="C61" s="54"/>
      <c r="D61" s="55">
        <f>325.83*I61/L61</f>
        <v>274.36</v>
      </c>
      <c r="E61" s="54"/>
      <c r="F61" s="56"/>
      <c r="G61" s="54"/>
      <c r="H61" s="54"/>
      <c r="I61" s="14">
        <v>2564.3000000000002</v>
      </c>
      <c r="J61" s="14">
        <v>1.07</v>
      </c>
      <c r="K61" s="15">
        <v>0.01</v>
      </c>
      <c r="L61" s="22">
        <v>3045.4</v>
      </c>
      <c r="M61" s="47"/>
      <c r="N61" s="47"/>
    </row>
    <row r="62" spans="1:14" s="22" customFormat="1" ht="15" x14ac:dyDescent="0.2">
      <c r="A62" s="53" t="s">
        <v>72</v>
      </c>
      <c r="B62" s="37" t="s">
        <v>53</v>
      </c>
      <c r="C62" s="54">
        <f>F62*12</f>
        <v>0</v>
      </c>
      <c r="D62" s="55">
        <f>918.96*I62/L62</f>
        <v>773.79</v>
      </c>
      <c r="E62" s="54">
        <f>H62*12</f>
        <v>0</v>
      </c>
      <c r="F62" s="56"/>
      <c r="G62" s="54"/>
      <c r="H62" s="54"/>
      <c r="I62" s="14">
        <v>2564.3000000000002</v>
      </c>
      <c r="J62" s="14">
        <v>1.07</v>
      </c>
      <c r="K62" s="15">
        <v>0.01</v>
      </c>
      <c r="L62" s="22">
        <v>3045.4</v>
      </c>
      <c r="M62" s="47"/>
      <c r="N62" s="47"/>
    </row>
    <row r="63" spans="1:14" s="22" customFormat="1" ht="15" x14ac:dyDescent="0.2">
      <c r="A63" s="53" t="s">
        <v>132</v>
      </c>
      <c r="B63" s="60" t="s">
        <v>51</v>
      </c>
      <c r="C63" s="54"/>
      <c r="D63" s="55">
        <f>1637.48*I63/L63</f>
        <v>1378.8</v>
      </c>
      <c r="E63" s="54"/>
      <c r="F63" s="56"/>
      <c r="G63" s="54"/>
      <c r="H63" s="54"/>
      <c r="I63" s="14">
        <v>2564.3000000000002</v>
      </c>
      <c r="J63" s="14"/>
      <c r="K63" s="15"/>
      <c r="L63" s="22">
        <v>3045.4</v>
      </c>
      <c r="M63" s="47"/>
      <c r="N63" s="47"/>
    </row>
    <row r="64" spans="1:14" s="22" customFormat="1" ht="15" x14ac:dyDescent="0.2">
      <c r="A64" s="53" t="s">
        <v>73</v>
      </c>
      <c r="B64" s="37" t="s">
        <v>51</v>
      </c>
      <c r="C64" s="54">
        <f>F64*12</f>
        <v>0</v>
      </c>
      <c r="D64" s="55">
        <f>1751.22*I64/L64</f>
        <v>1474.57</v>
      </c>
      <c r="E64" s="54">
        <f>H64*12</f>
        <v>0</v>
      </c>
      <c r="F64" s="56"/>
      <c r="G64" s="54"/>
      <c r="H64" s="54"/>
      <c r="I64" s="14">
        <v>2564.3000000000002</v>
      </c>
      <c r="J64" s="14">
        <v>1.07</v>
      </c>
      <c r="K64" s="15">
        <v>0.02</v>
      </c>
      <c r="L64" s="22">
        <v>3045.4</v>
      </c>
      <c r="M64" s="47"/>
      <c r="N64" s="47"/>
    </row>
    <row r="65" spans="1:14" s="22" customFormat="1" ht="15" x14ac:dyDescent="0.2">
      <c r="A65" s="53" t="s">
        <v>74</v>
      </c>
      <c r="B65" s="37" t="s">
        <v>51</v>
      </c>
      <c r="C65" s="54">
        <f>F65*12</f>
        <v>0</v>
      </c>
      <c r="D65" s="55">
        <f>5855.59*I65/L65</f>
        <v>4930.55</v>
      </c>
      <c r="E65" s="54">
        <f>H65*12</f>
        <v>0</v>
      </c>
      <c r="F65" s="56"/>
      <c r="G65" s="54"/>
      <c r="H65" s="54"/>
      <c r="I65" s="14">
        <v>2564.3000000000002</v>
      </c>
      <c r="J65" s="14">
        <v>1.07</v>
      </c>
      <c r="K65" s="15">
        <v>0.1</v>
      </c>
      <c r="L65" s="22">
        <v>3045.4</v>
      </c>
      <c r="M65" s="47"/>
      <c r="N65" s="47"/>
    </row>
    <row r="66" spans="1:14" s="22" customFormat="1" ht="15" x14ac:dyDescent="0.2">
      <c r="A66" s="53" t="s">
        <v>133</v>
      </c>
      <c r="B66" s="37" t="s">
        <v>51</v>
      </c>
      <c r="C66" s="54">
        <f>F66*12</f>
        <v>0</v>
      </c>
      <c r="D66" s="55">
        <f>918.95*I66/L66</f>
        <v>773.78</v>
      </c>
      <c r="E66" s="54">
        <f>H66*12</f>
        <v>0</v>
      </c>
      <c r="F66" s="56"/>
      <c r="G66" s="54"/>
      <c r="H66" s="54"/>
      <c r="I66" s="14">
        <v>2564.3000000000002</v>
      </c>
      <c r="J66" s="14">
        <v>1.07</v>
      </c>
      <c r="K66" s="15">
        <v>0.02</v>
      </c>
      <c r="L66" s="22">
        <v>3045.4</v>
      </c>
      <c r="M66" s="47"/>
      <c r="N66" s="47"/>
    </row>
    <row r="67" spans="1:14" s="22" customFormat="1" ht="15" x14ac:dyDescent="0.2">
      <c r="A67" s="53" t="s">
        <v>75</v>
      </c>
      <c r="B67" s="37" t="s">
        <v>51</v>
      </c>
      <c r="C67" s="54"/>
      <c r="D67" s="55">
        <f>437.79*I67/L67</f>
        <v>368.63</v>
      </c>
      <c r="E67" s="54"/>
      <c r="F67" s="56"/>
      <c r="G67" s="54"/>
      <c r="H67" s="54"/>
      <c r="I67" s="14">
        <v>2564.3000000000002</v>
      </c>
      <c r="J67" s="14">
        <v>1.07</v>
      </c>
      <c r="K67" s="15">
        <v>0.01</v>
      </c>
      <c r="L67" s="22">
        <v>3045.4</v>
      </c>
      <c r="M67" s="47"/>
      <c r="N67" s="47"/>
    </row>
    <row r="68" spans="1:14" s="22" customFormat="1" ht="15" x14ac:dyDescent="0.2">
      <c r="A68" s="53" t="s">
        <v>76</v>
      </c>
      <c r="B68" s="37" t="s">
        <v>53</v>
      </c>
      <c r="C68" s="54"/>
      <c r="D68" s="107">
        <f>3502.46*I68/L68</f>
        <v>2949.16</v>
      </c>
      <c r="E68" s="54"/>
      <c r="F68" s="56"/>
      <c r="G68" s="54"/>
      <c r="H68" s="54"/>
      <c r="I68" s="14">
        <v>2564.3000000000002</v>
      </c>
      <c r="J68" s="14">
        <v>1.07</v>
      </c>
      <c r="K68" s="15">
        <v>0.04</v>
      </c>
      <c r="L68" s="22">
        <v>3045.4</v>
      </c>
      <c r="M68" s="47"/>
      <c r="N68" s="47"/>
    </row>
    <row r="69" spans="1:14" s="22" customFormat="1" ht="25.5" x14ac:dyDescent="0.2">
      <c r="A69" s="53" t="s">
        <v>77</v>
      </c>
      <c r="B69" s="37" t="s">
        <v>51</v>
      </c>
      <c r="C69" s="54">
        <f>F69*12</f>
        <v>0</v>
      </c>
      <c r="D69" s="55">
        <f>2891.57*I69/L69</f>
        <v>2434.77</v>
      </c>
      <c r="E69" s="54">
        <f>H69*12</f>
        <v>0</v>
      </c>
      <c r="F69" s="56"/>
      <c r="G69" s="54"/>
      <c r="H69" s="54"/>
      <c r="I69" s="14">
        <v>2564.3000000000002</v>
      </c>
      <c r="J69" s="14">
        <v>1.07</v>
      </c>
      <c r="K69" s="15">
        <v>0.06</v>
      </c>
      <c r="L69" s="22">
        <v>3045.4</v>
      </c>
      <c r="M69" s="47"/>
      <c r="N69" s="47"/>
    </row>
    <row r="70" spans="1:14" s="22" customFormat="1" ht="15" x14ac:dyDescent="0.2">
      <c r="A70" s="53" t="s">
        <v>78</v>
      </c>
      <c r="B70" s="37" t="s">
        <v>51</v>
      </c>
      <c r="C70" s="54"/>
      <c r="D70" s="55">
        <f>6057.57*I70/L70</f>
        <v>5100.62</v>
      </c>
      <c r="E70" s="54"/>
      <c r="F70" s="56"/>
      <c r="G70" s="54"/>
      <c r="H70" s="54"/>
      <c r="I70" s="14">
        <v>2564.3000000000002</v>
      </c>
      <c r="J70" s="14">
        <v>1.07</v>
      </c>
      <c r="K70" s="15">
        <v>0.01</v>
      </c>
      <c r="L70" s="22">
        <v>3045.4</v>
      </c>
      <c r="M70" s="47"/>
      <c r="N70" s="47"/>
    </row>
    <row r="71" spans="1:14" s="22" customFormat="1" ht="15" hidden="1" x14ac:dyDescent="0.2">
      <c r="A71" s="53"/>
      <c r="B71" s="37"/>
      <c r="C71" s="59"/>
      <c r="D71" s="55"/>
      <c r="E71" s="59"/>
      <c r="F71" s="56"/>
      <c r="G71" s="54"/>
      <c r="H71" s="54"/>
      <c r="I71" s="14"/>
      <c r="J71" s="14"/>
      <c r="K71" s="15"/>
      <c r="M71" s="47"/>
      <c r="N71" s="47"/>
    </row>
    <row r="72" spans="1:14" s="22" customFormat="1" ht="15" hidden="1" x14ac:dyDescent="0.2">
      <c r="A72" s="53"/>
      <c r="B72" s="37"/>
      <c r="C72" s="54"/>
      <c r="D72" s="55"/>
      <c r="E72" s="54"/>
      <c r="F72" s="56"/>
      <c r="G72" s="54"/>
      <c r="H72" s="54"/>
      <c r="I72" s="14"/>
      <c r="J72" s="14"/>
      <c r="K72" s="15"/>
      <c r="M72" s="47"/>
      <c r="N72" s="47"/>
    </row>
    <row r="73" spans="1:14" s="47" customFormat="1" ht="30" x14ac:dyDescent="0.2">
      <c r="A73" s="46" t="s">
        <v>79</v>
      </c>
      <c r="B73" s="25"/>
      <c r="C73" s="26"/>
      <c r="D73" s="26">
        <f>D75+D76+D81</f>
        <v>23608.86</v>
      </c>
      <c r="E73" s="26" t="e">
        <f>#REF!+#REF!+E76+#REF!+#REF!+#REF!+E81</f>
        <v>#REF!</v>
      </c>
      <c r="F73" s="26" t="e">
        <f>#REF!+#REF!+F76+#REF!+#REF!+#REF!+F81</f>
        <v>#REF!</v>
      </c>
      <c r="G73" s="26">
        <f>D73/I73</f>
        <v>9.2100000000000009</v>
      </c>
      <c r="H73" s="26">
        <f>G73/12</f>
        <v>0.77</v>
      </c>
      <c r="I73" s="14">
        <v>2564.3000000000002</v>
      </c>
      <c r="J73" s="14">
        <v>1.07</v>
      </c>
      <c r="K73" s="15">
        <v>0.85</v>
      </c>
    </row>
    <row r="74" spans="1:14" s="22" customFormat="1" ht="25.5" hidden="1" x14ac:dyDescent="0.2">
      <c r="A74" s="53" t="s">
        <v>80</v>
      </c>
      <c r="B74" s="60" t="s">
        <v>51</v>
      </c>
      <c r="C74" s="54"/>
      <c r="D74" s="55"/>
      <c r="E74" s="54"/>
      <c r="F74" s="56"/>
      <c r="G74" s="54"/>
      <c r="H74" s="54"/>
      <c r="I74" s="14">
        <v>3045.4</v>
      </c>
      <c r="J74" s="14">
        <v>1.07</v>
      </c>
      <c r="K74" s="15">
        <v>0.04</v>
      </c>
      <c r="M74" s="47"/>
      <c r="N74" s="47"/>
    </row>
    <row r="75" spans="1:14" s="22" customFormat="1" ht="15" x14ac:dyDescent="0.2">
      <c r="A75" s="53" t="s">
        <v>157</v>
      </c>
      <c r="B75" s="60" t="s">
        <v>53</v>
      </c>
      <c r="C75" s="54"/>
      <c r="D75" s="55">
        <f>(9865*2)*I75/L75</f>
        <v>16613.13</v>
      </c>
      <c r="E75" s="54"/>
      <c r="F75" s="56"/>
      <c r="G75" s="54"/>
      <c r="H75" s="54"/>
      <c r="I75" s="14">
        <v>2564.3000000000002</v>
      </c>
      <c r="J75" s="14"/>
      <c r="K75" s="15"/>
      <c r="L75" s="22">
        <v>3045.4</v>
      </c>
      <c r="M75" s="47"/>
      <c r="N75" s="47"/>
    </row>
    <row r="76" spans="1:14" s="22" customFormat="1" ht="25.5" x14ac:dyDescent="0.2">
      <c r="A76" s="53" t="s">
        <v>81</v>
      </c>
      <c r="B76" s="37" t="s">
        <v>82</v>
      </c>
      <c r="C76" s="54"/>
      <c r="D76" s="55">
        <v>1751.2</v>
      </c>
      <c r="E76" s="54"/>
      <c r="F76" s="56"/>
      <c r="G76" s="54"/>
      <c r="H76" s="54"/>
      <c r="I76" s="14">
        <v>2564.3000000000002</v>
      </c>
      <c r="J76" s="14">
        <v>1.07</v>
      </c>
      <c r="K76" s="15">
        <v>0.04</v>
      </c>
      <c r="M76" s="47"/>
      <c r="N76" s="47"/>
    </row>
    <row r="77" spans="1:14" s="22" customFormat="1" ht="15" hidden="1" x14ac:dyDescent="0.2">
      <c r="A77" s="53" t="s">
        <v>83</v>
      </c>
      <c r="B77" s="37" t="s">
        <v>84</v>
      </c>
      <c r="C77" s="54"/>
      <c r="D77" s="55"/>
      <c r="E77" s="54"/>
      <c r="F77" s="56"/>
      <c r="G77" s="54"/>
      <c r="H77" s="54"/>
      <c r="I77" s="14">
        <v>2564.3000000000002</v>
      </c>
      <c r="J77" s="14">
        <v>1.07</v>
      </c>
      <c r="K77" s="15">
        <v>0</v>
      </c>
      <c r="M77" s="47"/>
      <c r="N77" s="47"/>
    </row>
    <row r="78" spans="1:14" s="22" customFormat="1" ht="15" hidden="1" x14ac:dyDescent="0.2">
      <c r="A78" s="53" t="s">
        <v>85</v>
      </c>
      <c r="B78" s="37" t="s">
        <v>51</v>
      </c>
      <c r="C78" s="54"/>
      <c r="D78" s="55"/>
      <c r="E78" s="54"/>
      <c r="F78" s="56"/>
      <c r="G78" s="54"/>
      <c r="H78" s="54"/>
      <c r="I78" s="14">
        <v>2564.3000000000002</v>
      </c>
      <c r="J78" s="14">
        <v>1.07</v>
      </c>
      <c r="K78" s="15">
        <v>0</v>
      </c>
      <c r="M78" s="47"/>
      <c r="N78" s="47"/>
    </row>
    <row r="79" spans="1:14" s="22" customFormat="1" ht="25.5" hidden="1" x14ac:dyDescent="0.2">
      <c r="A79" s="53" t="s">
        <v>86</v>
      </c>
      <c r="B79" s="37" t="s">
        <v>51</v>
      </c>
      <c r="C79" s="54"/>
      <c r="D79" s="55"/>
      <c r="E79" s="54"/>
      <c r="F79" s="56"/>
      <c r="G79" s="54"/>
      <c r="H79" s="54"/>
      <c r="I79" s="14">
        <v>2564.3000000000002</v>
      </c>
      <c r="J79" s="14">
        <v>1.07</v>
      </c>
      <c r="K79" s="15">
        <v>0</v>
      </c>
      <c r="M79" s="47"/>
      <c r="N79" s="47"/>
    </row>
    <row r="80" spans="1:14" s="22" customFormat="1" ht="25.5" hidden="1" x14ac:dyDescent="0.2">
      <c r="A80" s="53" t="s">
        <v>87</v>
      </c>
      <c r="B80" s="37" t="s">
        <v>28</v>
      </c>
      <c r="C80" s="54"/>
      <c r="D80" s="55">
        <f>G80*I80</f>
        <v>0</v>
      </c>
      <c r="E80" s="54"/>
      <c r="F80" s="56"/>
      <c r="G80" s="54"/>
      <c r="H80" s="54"/>
      <c r="I80" s="14">
        <v>3045.4</v>
      </c>
      <c r="J80" s="14">
        <v>1.07</v>
      </c>
      <c r="K80" s="15">
        <v>0.27</v>
      </c>
      <c r="M80" s="47"/>
      <c r="N80" s="47"/>
    </row>
    <row r="81" spans="1:14" s="22" customFormat="1" ht="15" x14ac:dyDescent="0.2">
      <c r="A81" s="53" t="s">
        <v>88</v>
      </c>
      <c r="B81" s="37" t="s">
        <v>13</v>
      </c>
      <c r="C81" s="59"/>
      <c r="D81" s="55">
        <f>6228.48*I81/L81</f>
        <v>5244.53</v>
      </c>
      <c r="E81" s="59"/>
      <c r="F81" s="56"/>
      <c r="G81" s="54"/>
      <c r="H81" s="54"/>
      <c r="I81" s="14">
        <v>2564.3000000000002</v>
      </c>
      <c r="J81" s="14">
        <v>1.07</v>
      </c>
      <c r="K81" s="15">
        <v>0.14000000000000001</v>
      </c>
      <c r="L81" s="22">
        <v>3045.4</v>
      </c>
      <c r="M81" s="47"/>
      <c r="N81" s="47"/>
    </row>
    <row r="82" spans="1:14" s="68" customFormat="1" ht="15" hidden="1" x14ac:dyDescent="0.2">
      <c r="A82" s="62" t="s">
        <v>89</v>
      </c>
      <c r="B82" s="63" t="s">
        <v>51</v>
      </c>
      <c r="C82" s="64"/>
      <c r="D82" s="65">
        <f>G82*I82</f>
        <v>0</v>
      </c>
      <c r="E82" s="64"/>
      <c r="F82" s="66"/>
      <c r="G82" s="64">
        <f>H82*12</f>
        <v>0</v>
      </c>
      <c r="H82" s="64">
        <v>0</v>
      </c>
      <c r="I82" s="67">
        <v>3045.4</v>
      </c>
      <c r="J82" s="14">
        <v>1.07</v>
      </c>
      <c r="K82" s="15">
        <v>0</v>
      </c>
      <c r="M82" s="47"/>
      <c r="N82" s="47"/>
    </row>
    <row r="83" spans="1:14" s="22" customFormat="1" ht="30" x14ac:dyDescent="0.2">
      <c r="A83" s="46" t="s">
        <v>90</v>
      </c>
      <c r="B83" s="37"/>
      <c r="C83" s="54"/>
      <c r="D83" s="26">
        <v>0</v>
      </c>
      <c r="E83" s="26" t="e">
        <f>#REF!+#REF!+#REF!</f>
        <v>#REF!</v>
      </c>
      <c r="F83" s="26" t="e">
        <f>#REF!+#REF!+#REF!</f>
        <v>#REF!</v>
      </c>
      <c r="G83" s="26">
        <f>D83/I83</f>
        <v>0</v>
      </c>
      <c r="H83" s="26">
        <f>G83/12</f>
        <v>0</v>
      </c>
      <c r="I83" s="14">
        <v>2564.3000000000002</v>
      </c>
      <c r="J83" s="14">
        <v>1.07</v>
      </c>
      <c r="K83" s="15">
        <v>0.41</v>
      </c>
      <c r="M83" s="47"/>
      <c r="N83" s="47"/>
    </row>
    <row r="84" spans="1:14" s="22" customFormat="1" ht="15" x14ac:dyDescent="0.2">
      <c r="A84" s="46" t="s">
        <v>92</v>
      </c>
      <c r="B84" s="37"/>
      <c r="C84" s="54"/>
      <c r="D84" s="26">
        <f>D86+D87+D93+D94</f>
        <v>33060.5</v>
      </c>
      <c r="E84" s="26">
        <f>E86+E87</f>
        <v>0</v>
      </c>
      <c r="F84" s="26">
        <f>F86+F87</f>
        <v>0</v>
      </c>
      <c r="G84" s="26">
        <f>D84/I84</f>
        <v>12.89</v>
      </c>
      <c r="H84" s="26">
        <f>G84/12</f>
        <v>1.07</v>
      </c>
      <c r="I84" s="14">
        <v>2564.3000000000002</v>
      </c>
      <c r="J84" s="14">
        <v>1.07</v>
      </c>
      <c r="K84" s="15">
        <v>0.18</v>
      </c>
      <c r="M84" s="47"/>
      <c r="N84" s="47"/>
    </row>
    <row r="85" spans="1:14" s="22" customFormat="1" ht="15" hidden="1" x14ac:dyDescent="0.2">
      <c r="A85" s="53" t="s">
        <v>93</v>
      </c>
      <c r="B85" s="37" t="s">
        <v>13</v>
      </c>
      <c r="C85" s="54"/>
      <c r="D85" s="55">
        <f t="shared" ref="D85:D92" si="9">G85*I85</f>
        <v>0</v>
      </c>
      <c r="E85" s="54"/>
      <c r="F85" s="56"/>
      <c r="G85" s="54">
        <f t="shared" ref="G85:G92" si="10">H85*12</f>
        <v>0</v>
      </c>
      <c r="H85" s="54">
        <v>0</v>
      </c>
      <c r="I85" s="14">
        <v>2564.3000000000002</v>
      </c>
      <c r="J85" s="14">
        <v>1.07</v>
      </c>
      <c r="K85" s="15">
        <v>0</v>
      </c>
      <c r="M85" s="47"/>
      <c r="N85" s="47"/>
    </row>
    <row r="86" spans="1:14" s="22" customFormat="1" ht="15" x14ac:dyDescent="0.2">
      <c r="A86" s="53" t="s">
        <v>94</v>
      </c>
      <c r="B86" s="37" t="s">
        <v>51</v>
      </c>
      <c r="C86" s="54"/>
      <c r="D86" s="55">
        <v>6305.2</v>
      </c>
      <c r="E86" s="54"/>
      <c r="F86" s="56"/>
      <c r="G86" s="54"/>
      <c r="H86" s="54"/>
      <c r="I86" s="14">
        <v>2564.3000000000002</v>
      </c>
      <c r="J86" s="14">
        <v>1.07</v>
      </c>
      <c r="K86" s="15">
        <v>0.16</v>
      </c>
      <c r="M86" s="47"/>
      <c r="N86" s="47"/>
    </row>
    <row r="87" spans="1:14" s="22" customFormat="1" ht="15" x14ac:dyDescent="0.2">
      <c r="A87" s="53" t="s">
        <v>95</v>
      </c>
      <c r="B87" s="37" t="s">
        <v>51</v>
      </c>
      <c r="C87" s="54"/>
      <c r="D87" s="55">
        <f>915.28*I87/L87</f>
        <v>770.69</v>
      </c>
      <c r="E87" s="54"/>
      <c r="F87" s="56"/>
      <c r="G87" s="54"/>
      <c r="H87" s="54"/>
      <c r="I87" s="14">
        <v>2564.3000000000002</v>
      </c>
      <c r="J87" s="14">
        <v>1.07</v>
      </c>
      <c r="K87" s="15">
        <v>0.02</v>
      </c>
      <c r="L87" s="22">
        <v>3045.4</v>
      </c>
      <c r="M87" s="47"/>
      <c r="N87" s="47"/>
    </row>
    <row r="88" spans="1:14" s="22" customFormat="1" ht="27.75" hidden="1" customHeight="1" x14ac:dyDescent="0.2">
      <c r="A88" s="53" t="s">
        <v>96</v>
      </c>
      <c r="B88" s="37" t="s">
        <v>28</v>
      </c>
      <c r="C88" s="54"/>
      <c r="D88" s="55">
        <f t="shared" si="9"/>
        <v>0</v>
      </c>
      <c r="E88" s="54"/>
      <c r="F88" s="56"/>
      <c r="G88" s="54">
        <f t="shared" si="10"/>
        <v>0</v>
      </c>
      <c r="H88" s="54">
        <v>0</v>
      </c>
      <c r="I88" s="14">
        <v>2564.3000000000002</v>
      </c>
      <c r="J88" s="14">
        <v>1.07</v>
      </c>
      <c r="K88" s="15">
        <v>0</v>
      </c>
      <c r="M88" s="47"/>
      <c r="N88" s="47"/>
    </row>
    <row r="89" spans="1:14" s="22" customFormat="1" ht="25.5" hidden="1" x14ac:dyDescent="0.2">
      <c r="A89" s="53" t="s">
        <v>97</v>
      </c>
      <c r="B89" s="37" t="s">
        <v>28</v>
      </c>
      <c r="C89" s="54"/>
      <c r="D89" s="55">
        <f t="shared" si="9"/>
        <v>0</v>
      </c>
      <c r="E89" s="54"/>
      <c r="F89" s="56"/>
      <c r="G89" s="54">
        <f t="shared" si="10"/>
        <v>0</v>
      </c>
      <c r="H89" s="54">
        <v>0</v>
      </c>
      <c r="I89" s="14">
        <v>2564.3000000000002</v>
      </c>
      <c r="J89" s="14">
        <v>1.07</v>
      </c>
      <c r="K89" s="15">
        <v>0</v>
      </c>
      <c r="M89" s="47"/>
      <c r="N89" s="47"/>
    </row>
    <row r="90" spans="1:14" s="22" customFormat="1" ht="25.5" hidden="1" x14ac:dyDescent="0.2">
      <c r="A90" s="53" t="s">
        <v>98</v>
      </c>
      <c r="B90" s="37" t="s">
        <v>28</v>
      </c>
      <c r="C90" s="54"/>
      <c r="D90" s="55">
        <f t="shared" si="9"/>
        <v>0</v>
      </c>
      <c r="E90" s="54"/>
      <c r="F90" s="56"/>
      <c r="G90" s="54">
        <f t="shared" si="10"/>
        <v>0</v>
      </c>
      <c r="H90" s="54">
        <v>0</v>
      </c>
      <c r="I90" s="14">
        <v>2564.3000000000002</v>
      </c>
      <c r="J90" s="14">
        <v>1.07</v>
      </c>
      <c r="K90" s="15">
        <v>0</v>
      </c>
      <c r="M90" s="47"/>
      <c r="N90" s="47"/>
    </row>
    <row r="91" spans="1:14" s="22" customFormat="1" ht="25.5" hidden="1" x14ac:dyDescent="0.2">
      <c r="A91" s="53" t="s">
        <v>99</v>
      </c>
      <c r="B91" s="37" t="s">
        <v>28</v>
      </c>
      <c r="C91" s="54"/>
      <c r="D91" s="55">
        <f t="shared" si="9"/>
        <v>0</v>
      </c>
      <c r="E91" s="54"/>
      <c r="F91" s="56"/>
      <c r="G91" s="54">
        <f t="shared" si="10"/>
        <v>0</v>
      </c>
      <c r="H91" s="54">
        <v>0</v>
      </c>
      <c r="I91" s="14">
        <v>2564.3000000000002</v>
      </c>
      <c r="J91" s="14">
        <v>1.07</v>
      </c>
      <c r="K91" s="15">
        <v>0</v>
      </c>
      <c r="M91" s="47"/>
      <c r="N91" s="47"/>
    </row>
    <row r="92" spans="1:14" s="22" customFormat="1" ht="25.5" hidden="1" x14ac:dyDescent="0.2">
      <c r="A92" s="53" t="s">
        <v>100</v>
      </c>
      <c r="B92" s="37" t="s">
        <v>28</v>
      </c>
      <c r="C92" s="54"/>
      <c r="D92" s="55">
        <f t="shared" si="9"/>
        <v>0</v>
      </c>
      <c r="E92" s="54"/>
      <c r="F92" s="56"/>
      <c r="G92" s="54">
        <f t="shared" si="10"/>
        <v>0</v>
      </c>
      <c r="H92" s="54">
        <v>0</v>
      </c>
      <c r="I92" s="14">
        <v>2564.3000000000002</v>
      </c>
      <c r="J92" s="14">
        <v>1.07</v>
      </c>
      <c r="K92" s="15">
        <v>0</v>
      </c>
      <c r="M92" s="47"/>
      <c r="N92" s="47"/>
    </row>
    <row r="93" spans="1:14" s="22" customFormat="1" ht="15" hidden="1" x14ac:dyDescent="0.2">
      <c r="A93" s="53" t="s">
        <v>101</v>
      </c>
      <c r="B93" s="41" t="s">
        <v>102</v>
      </c>
      <c r="C93" s="54"/>
      <c r="D93" s="108"/>
      <c r="E93" s="59"/>
      <c r="F93" s="108"/>
      <c r="G93" s="59"/>
      <c r="H93" s="59"/>
      <c r="I93" s="14"/>
      <c r="J93" s="14"/>
      <c r="K93" s="15"/>
      <c r="M93" s="47"/>
      <c r="N93" s="47"/>
    </row>
    <row r="94" spans="1:14" s="22" customFormat="1" ht="15" x14ac:dyDescent="0.2">
      <c r="A94" s="53" t="s">
        <v>101</v>
      </c>
      <c r="B94" s="41" t="s">
        <v>135</v>
      </c>
      <c r="C94" s="54"/>
      <c r="D94" s="108">
        <v>25984.61</v>
      </c>
      <c r="E94" s="59"/>
      <c r="F94" s="108"/>
      <c r="G94" s="59"/>
      <c r="H94" s="59"/>
      <c r="I94" s="14">
        <v>2564.3000000000002</v>
      </c>
      <c r="J94" s="14"/>
      <c r="K94" s="15"/>
      <c r="M94" s="47"/>
      <c r="N94" s="47"/>
    </row>
    <row r="95" spans="1:14" s="22" customFormat="1" ht="15" x14ac:dyDescent="0.2">
      <c r="A95" s="46" t="s">
        <v>103</v>
      </c>
      <c r="B95" s="37"/>
      <c r="C95" s="54"/>
      <c r="D95" s="26">
        <f>D96+D97</f>
        <v>924.68</v>
      </c>
      <c r="E95" s="26" t="e">
        <f>E96+#REF!+E97</f>
        <v>#REF!</v>
      </c>
      <c r="F95" s="26" t="e">
        <f>F96+#REF!+F97</f>
        <v>#REF!</v>
      </c>
      <c r="G95" s="26">
        <f>D95/I95</f>
        <v>0.36</v>
      </c>
      <c r="H95" s="26">
        <f>G95/12</f>
        <v>0.03</v>
      </c>
      <c r="I95" s="14">
        <v>2564.3000000000002</v>
      </c>
      <c r="J95" s="14">
        <v>1.07</v>
      </c>
      <c r="K95" s="15">
        <v>0.12</v>
      </c>
      <c r="M95" s="47"/>
      <c r="N95" s="47"/>
    </row>
    <row r="96" spans="1:14" s="22" customFormat="1" ht="15" x14ac:dyDescent="0.2">
      <c r="A96" s="53" t="s">
        <v>104</v>
      </c>
      <c r="B96" s="37" t="s">
        <v>51</v>
      </c>
      <c r="C96" s="54"/>
      <c r="D96" s="55">
        <f>1098.16*I96/L96</f>
        <v>924.68</v>
      </c>
      <c r="E96" s="54"/>
      <c r="F96" s="56"/>
      <c r="G96" s="54"/>
      <c r="H96" s="54"/>
      <c r="I96" s="14">
        <v>2564.3000000000002</v>
      </c>
      <c r="J96" s="14">
        <v>1.07</v>
      </c>
      <c r="K96" s="15">
        <v>0.02</v>
      </c>
      <c r="L96" s="22">
        <v>3045.4</v>
      </c>
      <c r="M96" s="47"/>
      <c r="N96" s="47"/>
    </row>
    <row r="97" spans="1:14" s="22" customFormat="1" ht="15" hidden="1" x14ac:dyDescent="0.2">
      <c r="A97" s="53" t="s">
        <v>105</v>
      </c>
      <c r="B97" s="37" t="s">
        <v>51</v>
      </c>
      <c r="C97" s="54"/>
      <c r="D97" s="55"/>
      <c r="E97" s="54"/>
      <c r="F97" s="56"/>
      <c r="G97" s="54"/>
      <c r="H97" s="54"/>
      <c r="I97" s="14">
        <v>3045.4</v>
      </c>
      <c r="J97" s="14">
        <v>1.07</v>
      </c>
      <c r="K97" s="15">
        <v>0.02</v>
      </c>
      <c r="M97" s="47"/>
      <c r="N97" s="47"/>
    </row>
    <row r="98" spans="1:14" s="14" customFormat="1" ht="15" x14ac:dyDescent="0.2">
      <c r="A98" s="46" t="s">
        <v>106</v>
      </c>
      <c r="B98" s="25"/>
      <c r="C98" s="26"/>
      <c r="D98" s="26">
        <f>D99+D100</f>
        <v>19092.560000000001</v>
      </c>
      <c r="E98" s="26">
        <f>E99+E100</f>
        <v>0</v>
      </c>
      <c r="F98" s="26">
        <f>F99+F100</f>
        <v>0</v>
      </c>
      <c r="G98" s="26">
        <f>D98/I98</f>
        <v>7.45</v>
      </c>
      <c r="H98" s="26">
        <f>G98/12</f>
        <v>0.62</v>
      </c>
      <c r="I98" s="14">
        <v>2564.3000000000002</v>
      </c>
      <c r="J98" s="14">
        <v>1.07</v>
      </c>
      <c r="K98" s="15">
        <v>0.64</v>
      </c>
      <c r="M98" s="47"/>
      <c r="N98" s="47"/>
    </row>
    <row r="99" spans="1:14" s="22" customFormat="1" ht="15" x14ac:dyDescent="0.2">
      <c r="A99" s="53" t="s">
        <v>107</v>
      </c>
      <c r="B99" s="41" t="s">
        <v>53</v>
      </c>
      <c r="C99" s="54"/>
      <c r="D99" s="55">
        <v>11048.16</v>
      </c>
      <c r="E99" s="54"/>
      <c r="F99" s="56"/>
      <c r="G99" s="54"/>
      <c r="H99" s="54"/>
      <c r="I99" s="14">
        <v>2564.3000000000002</v>
      </c>
      <c r="J99" s="14">
        <v>1.07</v>
      </c>
      <c r="K99" s="15">
        <v>0.04</v>
      </c>
      <c r="M99" s="47"/>
      <c r="N99" s="47"/>
    </row>
    <row r="100" spans="1:14" s="22" customFormat="1" ht="15" x14ac:dyDescent="0.2">
      <c r="A100" s="53" t="s">
        <v>134</v>
      </c>
      <c r="B100" s="60" t="s">
        <v>135</v>
      </c>
      <c r="C100" s="54">
        <f>F100*12</f>
        <v>0</v>
      </c>
      <c r="D100" s="55">
        <v>8044.4</v>
      </c>
      <c r="E100" s="54">
        <f>H100*12</f>
        <v>0</v>
      </c>
      <c r="F100" s="56"/>
      <c r="G100" s="54"/>
      <c r="H100" s="54"/>
      <c r="I100" s="14">
        <v>2564.3000000000002</v>
      </c>
      <c r="J100" s="14">
        <v>1.07</v>
      </c>
      <c r="K100" s="15">
        <v>0.6</v>
      </c>
      <c r="M100" s="47"/>
      <c r="N100" s="47"/>
    </row>
    <row r="101" spans="1:14" s="14" customFormat="1" ht="15" x14ac:dyDescent="0.2">
      <c r="A101" s="46" t="s">
        <v>108</v>
      </c>
      <c r="B101" s="25"/>
      <c r="C101" s="26"/>
      <c r="D101" s="26">
        <f>D102+D103</f>
        <v>2196.66</v>
      </c>
      <c r="E101" s="26">
        <f>E102+E103</f>
        <v>0</v>
      </c>
      <c r="F101" s="26">
        <f>F102+F103</f>
        <v>0</v>
      </c>
      <c r="G101" s="26">
        <f>D101/I101</f>
        <v>0.86</v>
      </c>
      <c r="H101" s="26">
        <f>G101/12</f>
        <v>7.0000000000000007E-2</v>
      </c>
      <c r="I101" s="14">
        <v>2564.3000000000002</v>
      </c>
      <c r="J101" s="14">
        <v>1.07</v>
      </c>
      <c r="K101" s="15">
        <v>0.05</v>
      </c>
      <c r="M101" s="47"/>
      <c r="N101" s="47"/>
    </row>
    <row r="102" spans="1:14" s="22" customFormat="1" ht="15" x14ac:dyDescent="0.2">
      <c r="A102" s="53" t="s">
        <v>142</v>
      </c>
      <c r="B102" s="37" t="s">
        <v>109</v>
      </c>
      <c r="C102" s="54"/>
      <c r="D102" s="107">
        <v>1220.3399999999999</v>
      </c>
      <c r="E102" s="109"/>
      <c r="F102" s="110"/>
      <c r="G102" s="109"/>
      <c r="H102" s="109"/>
      <c r="I102" s="14">
        <v>2564.3000000000002</v>
      </c>
      <c r="J102" s="14">
        <v>1.07</v>
      </c>
      <c r="K102" s="15">
        <v>0.03</v>
      </c>
      <c r="M102" s="47"/>
      <c r="N102" s="47"/>
    </row>
    <row r="103" spans="1:14" s="22" customFormat="1" ht="15" x14ac:dyDescent="0.2">
      <c r="A103" s="53" t="s">
        <v>110</v>
      </c>
      <c r="B103" s="37" t="s">
        <v>109</v>
      </c>
      <c r="C103" s="54"/>
      <c r="D103" s="55">
        <v>976.32</v>
      </c>
      <c r="E103" s="54"/>
      <c r="F103" s="56"/>
      <c r="G103" s="54"/>
      <c r="H103" s="54"/>
      <c r="I103" s="14">
        <v>2564.3000000000002</v>
      </c>
      <c r="J103" s="14">
        <v>1.07</v>
      </c>
      <c r="K103" s="15">
        <v>0.02</v>
      </c>
      <c r="M103" s="47"/>
      <c r="N103" s="47"/>
    </row>
    <row r="104" spans="1:14" s="22" customFormat="1" ht="25.5" hidden="1" customHeight="1" x14ac:dyDescent="0.2">
      <c r="A104" s="53" t="s">
        <v>111</v>
      </c>
      <c r="B104" s="37" t="s">
        <v>51</v>
      </c>
      <c r="C104" s="54"/>
      <c r="D104" s="55"/>
      <c r="E104" s="54"/>
      <c r="F104" s="56"/>
      <c r="G104" s="54"/>
      <c r="H104" s="54">
        <v>0</v>
      </c>
      <c r="I104" s="14">
        <v>2564.3000000000002</v>
      </c>
      <c r="J104" s="14">
        <v>1.07</v>
      </c>
      <c r="K104" s="15">
        <v>0</v>
      </c>
      <c r="M104" s="47"/>
      <c r="N104" s="47"/>
    </row>
    <row r="105" spans="1:14" s="14" customFormat="1" ht="29.25" hidden="1" customHeight="1" x14ac:dyDescent="0.2">
      <c r="A105" s="69" t="s">
        <v>112</v>
      </c>
      <c r="B105" s="60"/>
      <c r="C105" s="52"/>
      <c r="D105" s="52">
        <f>G105*I105</f>
        <v>0</v>
      </c>
      <c r="E105" s="52"/>
      <c r="F105" s="70"/>
      <c r="G105" s="52">
        <f>H105*12</f>
        <v>0</v>
      </c>
      <c r="H105" s="52">
        <v>0</v>
      </c>
      <c r="I105" s="14">
        <v>2564.3000000000002</v>
      </c>
      <c r="J105" s="15"/>
      <c r="M105" s="47"/>
      <c r="N105" s="47"/>
    </row>
    <row r="106" spans="1:14" s="14" customFormat="1" ht="38.25" thickBot="1" x14ac:dyDescent="0.25">
      <c r="A106" s="69" t="s">
        <v>158</v>
      </c>
      <c r="B106" s="25" t="s">
        <v>28</v>
      </c>
      <c r="C106" s="52">
        <f>F106*12</f>
        <v>0</v>
      </c>
      <c r="D106" s="52">
        <f>G106*I106</f>
        <v>42464.81</v>
      </c>
      <c r="E106" s="52">
        <f>H106*12</f>
        <v>16.559999999999999</v>
      </c>
      <c r="F106" s="70"/>
      <c r="G106" s="52">
        <f>H106*12</f>
        <v>16.559999999999999</v>
      </c>
      <c r="H106" s="52">
        <v>1.38</v>
      </c>
      <c r="I106" s="14">
        <v>2564.3000000000002</v>
      </c>
      <c r="J106" s="14">
        <v>1.07</v>
      </c>
      <c r="K106" s="15">
        <v>0.3</v>
      </c>
      <c r="M106" s="47"/>
      <c r="N106" s="47"/>
    </row>
    <row r="107" spans="1:14" s="14" customFormat="1" ht="19.5" hidden="1" thickBot="1" x14ac:dyDescent="0.25">
      <c r="A107" s="71" t="s">
        <v>113</v>
      </c>
      <c r="B107" s="25"/>
      <c r="C107" s="50" t="e">
        <f>F107*12</f>
        <v>#REF!</v>
      </c>
      <c r="D107" s="50">
        <f>SUM(D108:D114)</f>
        <v>0</v>
      </c>
      <c r="E107" s="50">
        <f>H107*12</f>
        <v>0</v>
      </c>
      <c r="F107" s="50" t="e">
        <f>#REF!+#REF!+#REF!+#REF!+#REF!+#REF!+#REF!+#REF!+#REF!+#REF!</f>
        <v>#REF!</v>
      </c>
      <c r="G107" s="50">
        <f>G108+G109+G110+G111+G112+G113+G114</f>
        <v>0</v>
      </c>
      <c r="H107" s="50">
        <f>SUM(H108:H114)</f>
        <v>0</v>
      </c>
      <c r="I107" s="14">
        <v>2564.3000000000002</v>
      </c>
      <c r="K107" s="15"/>
      <c r="N107" s="47"/>
    </row>
    <row r="108" spans="1:14" s="14" customFormat="1" ht="15.75" hidden="1" thickBot="1" x14ac:dyDescent="0.25">
      <c r="A108" s="72" t="s">
        <v>114</v>
      </c>
      <c r="B108" s="73"/>
      <c r="C108" s="74"/>
      <c r="D108" s="50"/>
      <c r="E108" s="50"/>
      <c r="F108" s="50"/>
      <c r="G108" s="50"/>
      <c r="H108" s="74"/>
      <c r="I108" s="14">
        <v>2564.3000000000002</v>
      </c>
      <c r="K108" s="15"/>
      <c r="N108" s="47"/>
    </row>
    <row r="109" spans="1:14" s="14" customFormat="1" ht="15.75" hidden="1" thickBot="1" x14ac:dyDescent="0.25">
      <c r="A109" s="72" t="s">
        <v>115</v>
      </c>
      <c r="B109" s="73"/>
      <c r="C109" s="74"/>
      <c r="D109" s="50"/>
      <c r="E109" s="50"/>
      <c r="F109" s="50"/>
      <c r="G109" s="50"/>
      <c r="H109" s="74"/>
      <c r="I109" s="14">
        <v>2564.3000000000002</v>
      </c>
      <c r="K109" s="15"/>
      <c r="N109" s="47"/>
    </row>
    <row r="110" spans="1:14" s="14" customFormat="1" ht="15.75" hidden="1" thickBot="1" x14ac:dyDescent="0.25">
      <c r="A110" s="72" t="s">
        <v>116</v>
      </c>
      <c r="B110" s="73"/>
      <c r="C110" s="74"/>
      <c r="D110" s="50"/>
      <c r="E110" s="50"/>
      <c r="F110" s="50"/>
      <c r="G110" s="50"/>
      <c r="H110" s="74"/>
      <c r="I110" s="14">
        <v>2564.3000000000002</v>
      </c>
      <c r="K110" s="15"/>
      <c r="N110" s="47"/>
    </row>
    <row r="111" spans="1:14" s="14" customFormat="1" ht="15.75" hidden="1" thickBot="1" x14ac:dyDescent="0.25">
      <c r="A111" s="72" t="s">
        <v>117</v>
      </c>
      <c r="B111" s="73"/>
      <c r="C111" s="74"/>
      <c r="D111" s="50"/>
      <c r="E111" s="50"/>
      <c r="F111" s="50"/>
      <c r="G111" s="50"/>
      <c r="H111" s="74"/>
      <c r="I111" s="14">
        <v>2564.3000000000002</v>
      </c>
      <c r="K111" s="15"/>
      <c r="N111" s="47"/>
    </row>
    <row r="112" spans="1:14" s="14" customFormat="1" ht="15.75" hidden="1" thickBot="1" x14ac:dyDescent="0.25">
      <c r="A112" s="72" t="s">
        <v>118</v>
      </c>
      <c r="B112" s="73"/>
      <c r="C112" s="74"/>
      <c r="D112" s="50"/>
      <c r="E112" s="50"/>
      <c r="F112" s="50"/>
      <c r="G112" s="50"/>
      <c r="H112" s="74"/>
      <c r="I112" s="14">
        <v>2564.3000000000002</v>
      </c>
      <c r="K112" s="15"/>
      <c r="N112" s="47"/>
    </row>
    <row r="113" spans="1:14" s="14" customFormat="1" ht="15.75" hidden="1" thickBot="1" x14ac:dyDescent="0.25">
      <c r="A113" s="72" t="s">
        <v>119</v>
      </c>
      <c r="B113" s="73"/>
      <c r="C113" s="74"/>
      <c r="D113" s="50"/>
      <c r="E113" s="50"/>
      <c r="F113" s="50"/>
      <c r="G113" s="50"/>
      <c r="H113" s="74"/>
      <c r="I113" s="14">
        <v>2564.3000000000002</v>
      </c>
      <c r="K113" s="15"/>
      <c r="N113" s="47"/>
    </row>
    <row r="114" spans="1:14" s="14" customFormat="1" ht="15.75" hidden="1" thickBot="1" x14ac:dyDescent="0.25">
      <c r="A114" s="75" t="s">
        <v>120</v>
      </c>
      <c r="B114" s="76"/>
      <c r="C114" s="77"/>
      <c r="D114" s="52"/>
      <c r="E114" s="52"/>
      <c r="F114" s="52"/>
      <c r="G114" s="52"/>
      <c r="H114" s="77"/>
      <c r="I114" s="14">
        <v>2564.3000000000002</v>
      </c>
      <c r="K114" s="15"/>
      <c r="N114" s="47"/>
    </row>
    <row r="115" spans="1:14" s="14" customFormat="1" ht="26.25" hidden="1" thickBot="1" x14ac:dyDescent="0.25">
      <c r="A115" s="78" t="s">
        <v>121</v>
      </c>
      <c r="B115" s="60" t="s">
        <v>122</v>
      </c>
      <c r="C115" s="79"/>
      <c r="D115" s="52"/>
      <c r="E115" s="52"/>
      <c r="F115" s="70"/>
      <c r="G115" s="52"/>
      <c r="H115" s="52"/>
      <c r="I115" s="14">
        <v>2564.3000000000002</v>
      </c>
      <c r="K115" s="15"/>
      <c r="N115" s="47"/>
    </row>
    <row r="116" spans="1:14" s="14" customFormat="1" ht="30.75" thickBot="1" x14ac:dyDescent="0.25">
      <c r="A116" s="78" t="s">
        <v>121</v>
      </c>
      <c r="B116" s="118" t="s">
        <v>159</v>
      </c>
      <c r="C116" s="119"/>
      <c r="D116" s="52">
        <v>12300</v>
      </c>
      <c r="E116" s="52"/>
      <c r="F116" s="117"/>
      <c r="G116" s="52">
        <f>D116/I116</f>
        <v>4.8</v>
      </c>
      <c r="H116" s="52">
        <f>G116/12</f>
        <v>0.4</v>
      </c>
      <c r="I116" s="14">
        <v>2564.3000000000002</v>
      </c>
      <c r="K116" s="15"/>
      <c r="N116" s="47"/>
    </row>
    <row r="117" spans="1:14" s="14" customFormat="1" ht="19.5" thickBot="1" x14ac:dyDescent="0.25">
      <c r="A117" s="80" t="s">
        <v>123</v>
      </c>
      <c r="B117" s="81" t="s">
        <v>22</v>
      </c>
      <c r="C117" s="79"/>
      <c r="D117" s="50">
        <f>G117*I117</f>
        <v>43309.51</v>
      </c>
      <c r="E117" s="50"/>
      <c r="F117" s="50"/>
      <c r="G117" s="50">
        <f>12*H117</f>
        <v>20.76</v>
      </c>
      <c r="H117" s="50">
        <v>1.73</v>
      </c>
      <c r="I117" s="14">
        <f>2564.3-478.1</f>
        <v>2086.1999999999998</v>
      </c>
      <c r="K117" s="15"/>
      <c r="N117" s="47"/>
    </row>
    <row r="118" spans="1:14" s="14" customFormat="1" ht="20.25" thickBot="1" x14ac:dyDescent="0.45">
      <c r="A118" s="82" t="s">
        <v>124</v>
      </c>
      <c r="B118" s="83"/>
      <c r="C118" s="84" t="e">
        <f>F118*12</f>
        <v>#REF!</v>
      </c>
      <c r="D118" s="85">
        <f>D116+D106+D101+D98+D95+D84+D83+D73+D59+D58+D57+D56+D55+D51+D50+D49+D48+D42+D41+D35+D34+D33+D24+D15+D117</f>
        <v>650511.77</v>
      </c>
      <c r="E118" s="85" t="e">
        <f>E116+E106+E101+E98+E95+E84+E83+E73+E59+E58+E57+E56+E55+E51+E50+E49+E48+E42+E41+E35+E34+E33+E24+E15+E117</f>
        <v>#REF!</v>
      </c>
      <c r="F118" s="85" t="e">
        <f>F116+F106+F101+F98+F95+F84+F83+F73+F59+F58+F57+F56+F55+F51+F50+F49+F48+F42+F41+F35+F34+F33+F24+F15+F117</f>
        <v>#REF!</v>
      </c>
      <c r="G118" s="85">
        <f>G116+G106+G101+G98+G95+G84+G83+G73+G59+G58+G57+G56+G55+G51+G50+G49+G48+G42+G41+G35+G34+G33+G24+G15+G117</f>
        <v>257.56</v>
      </c>
      <c r="H118" s="85">
        <f>H116+H106+H101+H98+H95+H84+H83+H73+H59+H58+H57+H56+H55+H51+H50+H49+H48+H42+H41+H35+H34+H33+H24+H15+H117</f>
        <v>21.47</v>
      </c>
      <c r="I118" s="14">
        <v>2564.3000000000002</v>
      </c>
      <c r="K118" s="15"/>
    </row>
    <row r="119" spans="1:14" s="90" customFormat="1" ht="20.25" hidden="1" thickBot="1" x14ac:dyDescent="0.25">
      <c r="A119" s="86" t="s">
        <v>125</v>
      </c>
      <c r="B119" s="87" t="s">
        <v>22</v>
      </c>
      <c r="C119" s="87" t="s">
        <v>126</v>
      </c>
      <c r="D119" s="88"/>
      <c r="E119" s="87" t="s">
        <v>126</v>
      </c>
      <c r="F119" s="89"/>
      <c r="G119" s="87" t="s">
        <v>126</v>
      </c>
      <c r="H119" s="89">
        <v>24.94</v>
      </c>
      <c r="K119" s="91"/>
    </row>
    <row r="120" spans="1:14" s="93" customFormat="1" x14ac:dyDescent="0.2">
      <c r="A120" s="92"/>
      <c r="K120" s="94"/>
    </row>
    <row r="121" spans="1:14" s="98" customFormat="1" ht="19.5" thickBot="1" x14ac:dyDescent="0.45">
      <c r="A121" s="95"/>
      <c r="B121" s="96"/>
      <c r="C121" s="97"/>
      <c r="D121" s="97"/>
      <c r="E121" s="97"/>
      <c r="F121" s="97"/>
      <c r="G121" s="97"/>
      <c r="H121" s="97"/>
      <c r="K121" s="99"/>
    </row>
    <row r="122" spans="1:14" s="98" customFormat="1" ht="30.75" thickBot="1" x14ac:dyDescent="0.45">
      <c r="A122" s="78" t="s">
        <v>127</v>
      </c>
      <c r="B122" s="83"/>
      <c r="C122" s="84">
        <f>F122*12</f>
        <v>0</v>
      </c>
      <c r="D122" s="84">
        <f>D125+D126+D127+D128+D129+D137+D138+D139</f>
        <v>130614.96</v>
      </c>
      <c r="E122" s="84" t="e">
        <f t="shared" ref="E122:H122" si="11">E125+E126+E127+E128+E129+E137+E138+E139</f>
        <v>#VALUE!</v>
      </c>
      <c r="F122" s="84">
        <f t="shared" si="11"/>
        <v>0</v>
      </c>
      <c r="G122" s="84">
        <f t="shared" si="11"/>
        <v>50.94</v>
      </c>
      <c r="H122" s="84">
        <f t="shared" si="11"/>
        <v>4.24</v>
      </c>
      <c r="I122" s="14">
        <v>2564.3000000000002</v>
      </c>
      <c r="K122" s="99"/>
    </row>
    <row r="123" spans="1:14" s="22" customFormat="1" ht="15" hidden="1" x14ac:dyDescent="0.2">
      <c r="A123" s="53"/>
      <c r="B123" s="37"/>
      <c r="C123" s="54"/>
      <c r="D123" s="55"/>
      <c r="E123" s="54"/>
      <c r="F123" s="56"/>
      <c r="G123" s="54"/>
      <c r="H123" s="54"/>
      <c r="I123" s="14"/>
      <c r="J123" s="14"/>
      <c r="K123" s="15"/>
    </row>
    <row r="124" spans="1:14" s="22" customFormat="1" ht="15" hidden="1" x14ac:dyDescent="0.2">
      <c r="A124" s="53"/>
      <c r="B124" s="37"/>
      <c r="C124" s="54"/>
      <c r="D124" s="55"/>
      <c r="E124" s="54"/>
      <c r="F124" s="56"/>
      <c r="G124" s="54"/>
      <c r="H124" s="54"/>
      <c r="I124" s="14"/>
      <c r="J124" s="14"/>
      <c r="K124" s="15"/>
    </row>
    <row r="125" spans="1:14" s="22" customFormat="1" ht="15" x14ac:dyDescent="0.2">
      <c r="A125" s="100" t="s">
        <v>149</v>
      </c>
      <c r="B125" s="37"/>
      <c r="C125" s="54"/>
      <c r="D125" s="55">
        <f>10000.39*I125/L125</f>
        <v>8420.57</v>
      </c>
      <c r="E125" s="54"/>
      <c r="F125" s="56"/>
      <c r="G125" s="54">
        <f t="shared" ref="G125:G139" si="12">D125/I125</f>
        <v>3.28</v>
      </c>
      <c r="H125" s="54">
        <f t="shared" ref="H125:H139" si="13">G125/12</f>
        <v>0.27</v>
      </c>
      <c r="I125" s="14">
        <v>2564.3000000000002</v>
      </c>
      <c r="J125" s="14"/>
      <c r="K125" s="15"/>
      <c r="L125" s="22">
        <v>3045.4</v>
      </c>
    </row>
    <row r="126" spans="1:14" s="22" customFormat="1" ht="15" x14ac:dyDescent="0.2">
      <c r="A126" s="100" t="s">
        <v>150</v>
      </c>
      <c r="B126" s="37"/>
      <c r="C126" s="54"/>
      <c r="D126" s="55">
        <f>10987.26*I126/L126</f>
        <v>9251.5400000000009</v>
      </c>
      <c r="E126" s="54"/>
      <c r="F126" s="56"/>
      <c r="G126" s="54">
        <f t="shared" si="12"/>
        <v>3.61</v>
      </c>
      <c r="H126" s="54">
        <f t="shared" si="13"/>
        <v>0.3</v>
      </c>
      <c r="I126" s="14">
        <v>2564.3000000000002</v>
      </c>
      <c r="J126" s="14"/>
      <c r="K126" s="15"/>
      <c r="L126" s="22">
        <v>3045.4</v>
      </c>
    </row>
    <row r="127" spans="1:14" s="22" customFormat="1" ht="15" x14ac:dyDescent="0.2">
      <c r="A127" s="100" t="s">
        <v>151</v>
      </c>
      <c r="B127" s="37"/>
      <c r="C127" s="54"/>
      <c r="D127" s="55">
        <f>2268.69*I127/L127</f>
        <v>1910.29</v>
      </c>
      <c r="E127" s="54"/>
      <c r="F127" s="56"/>
      <c r="G127" s="54">
        <f t="shared" si="12"/>
        <v>0.74</v>
      </c>
      <c r="H127" s="54">
        <f t="shared" si="13"/>
        <v>0.06</v>
      </c>
      <c r="I127" s="14">
        <v>2564.3000000000002</v>
      </c>
      <c r="J127" s="14"/>
      <c r="K127" s="15"/>
      <c r="L127" s="22">
        <v>3045.4</v>
      </c>
    </row>
    <row r="128" spans="1:14" s="22" customFormat="1" ht="15" x14ac:dyDescent="0.2">
      <c r="A128" s="100" t="s">
        <v>152</v>
      </c>
      <c r="B128" s="37"/>
      <c r="C128" s="54"/>
      <c r="D128" s="55">
        <f>3218.1*I128/L128</f>
        <v>2709.72</v>
      </c>
      <c r="E128" s="54"/>
      <c r="F128" s="56"/>
      <c r="G128" s="54">
        <f t="shared" si="12"/>
        <v>1.06</v>
      </c>
      <c r="H128" s="54">
        <f t="shared" si="13"/>
        <v>0.09</v>
      </c>
      <c r="I128" s="14">
        <v>2564.3000000000002</v>
      </c>
      <c r="J128" s="14"/>
      <c r="K128" s="15"/>
      <c r="L128" s="22">
        <v>3045.4</v>
      </c>
    </row>
    <row r="129" spans="1:12" s="22" customFormat="1" ht="22.5" customHeight="1" x14ac:dyDescent="0.2">
      <c r="A129" s="100" t="s">
        <v>154</v>
      </c>
      <c r="B129" s="37"/>
      <c r="C129" s="54"/>
      <c r="D129" s="55">
        <f>722.42*I129/L129</f>
        <v>608.29999999999995</v>
      </c>
      <c r="E129" s="54"/>
      <c r="F129" s="56"/>
      <c r="G129" s="54">
        <f t="shared" si="12"/>
        <v>0.24</v>
      </c>
      <c r="H129" s="54">
        <f t="shared" si="13"/>
        <v>0.02</v>
      </c>
      <c r="I129" s="14">
        <v>2564.3000000000002</v>
      </c>
      <c r="J129" s="14"/>
      <c r="K129" s="15"/>
      <c r="L129" s="22">
        <v>3045.4</v>
      </c>
    </row>
    <row r="130" spans="1:12" s="22" customFormat="1" ht="15" hidden="1" x14ac:dyDescent="0.2">
      <c r="A130" s="100" t="s">
        <v>128</v>
      </c>
      <c r="B130" s="37"/>
      <c r="C130" s="54"/>
      <c r="D130" s="55"/>
      <c r="E130" s="54"/>
      <c r="F130" s="56"/>
      <c r="G130" s="54">
        <f t="shared" si="12"/>
        <v>0</v>
      </c>
      <c r="H130" s="54">
        <f t="shared" si="13"/>
        <v>0</v>
      </c>
      <c r="I130" s="14">
        <v>3045.4</v>
      </c>
      <c r="J130" s="14"/>
      <c r="K130" s="15"/>
    </row>
    <row r="131" spans="1:12" s="22" customFormat="1" ht="15" hidden="1" x14ac:dyDescent="0.2">
      <c r="A131" s="53"/>
      <c r="B131" s="37"/>
      <c r="C131" s="54"/>
      <c r="D131" s="55"/>
      <c r="E131" s="54"/>
      <c r="F131" s="56"/>
      <c r="G131" s="54">
        <f t="shared" si="12"/>
        <v>0</v>
      </c>
      <c r="H131" s="54">
        <f t="shared" si="13"/>
        <v>0</v>
      </c>
      <c r="I131" s="14">
        <v>3045.4</v>
      </c>
      <c r="J131" s="14"/>
      <c r="K131" s="15"/>
    </row>
    <row r="132" spans="1:12" s="22" customFormat="1" ht="15" hidden="1" x14ac:dyDescent="0.2">
      <c r="A132" s="53"/>
      <c r="B132" s="37"/>
      <c r="C132" s="54"/>
      <c r="D132" s="55"/>
      <c r="E132" s="54"/>
      <c r="F132" s="56"/>
      <c r="G132" s="54">
        <f t="shared" si="12"/>
        <v>0</v>
      </c>
      <c r="H132" s="54">
        <f t="shared" si="13"/>
        <v>0</v>
      </c>
      <c r="I132" s="14">
        <v>3045.4</v>
      </c>
      <c r="J132" s="14"/>
      <c r="K132" s="15"/>
    </row>
    <row r="133" spans="1:12" s="22" customFormat="1" ht="15" hidden="1" x14ac:dyDescent="0.2">
      <c r="A133" s="53"/>
      <c r="B133" s="37"/>
      <c r="C133" s="54"/>
      <c r="D133" s="55"/>
      <c r="E133" s="54"/>
      <c r="F133" s="56"/>
      <c r="G133" s="54">
        <f t="shared" si="12"/>
        <v>0</v>
      </c>
      <c r="H133" s="54">
        <f t="shared" si="13"/>
        <v>0</v>
      </c>
      <c r="I133" s="14">
        <v>2564.3000000000002</v>
      </c>
      <c r="J133" s="14"/>
      <c r="K133" s="15"/>
    </row>
    <row r="134" spans="1:12" s="22" customFormat="1" ht="15" hidden="1" x14ac:dyDescent="0.2">
      <c r="A134" s="53"/>
      <c r="B134" s="37"/>
      <c r="C134" s="54"/>
      <c r="D134" s="55"/>
      <c r="E134" s="54"/>
      <c r="F134" s="56"/>
      <c r="G134" s="54">
        <f t="shared" si="12"/>
        <v>0</v>
      </c>
      <c r="H134" s="54">
        <f t="shared" si="13"/>
        <v>0</v>
      </c>
      <c r="I134" s="14">
        <v>3045.4</v>
      </c>
      <c r="J134" s="14"/>
      <c r="K134" s="15"/>
    </row>
    <row r="135" spans="1:12" s="22" customFormat="1" ht="16.5" hidden="1" customHeight="1" x14ac:dyDescent="0.2">
      <c r="A135" s="53"/>
      <c r="B135" s="37"/>
      <c r="C135" s="54"/>
      <c r="D135" s="55"/>
      <c r="E135" s="54"/>
      <c r="F135" s="56"/>
      <c r="G135" s="54">
        <f t="shared" si="12"/>
        <v>0</v>
      </c>
      <c r="H135" s="54">
        <f t="shared" si="13"/>
        <v>0</v>
      </c>
      <c r="I135" s="14">
        <v>3045.4</v>
      </c>
      <c r="J135" s="14"/>
      <c r="K135" s="15"/>
    </row>
    <row r="136" spans="1:12" s="22" customFormat="1" ht="16.5" hidden="1" customHeight="1" x14ac:dyDescent="0.2">
      <c r="A136" s="100"/>
      <c r="B136" s="37"/>
      <c r="C136" s="54"/>
      <c r="D136" s="54"/>
      <c r="E136" s="54"/>
      <c r="F136" s="54"/>
      <c r="G136" s="54">
        <f t="shared" si="12"/>
        <v>0</v>
      </c>
      <c r="H136" s="54">
        <f t="shared" si="13"/>
        <v>0</v>
      </c>
      <c r="I136" s="14">
        <v>3045.4</v>
      </c>
      <c r="J136" s="14"/>
      <c r="K136" s="15"/>
    </row>
    <row r="137" spans="1:12" s="22" customFormat="1" ht="16.5" customHeight="1" x14ac:dyDescent="0.2">
      <c r="A137" s="100" t="s">
        <v>164</v>
      </c>
      <c r="B137" s="37"/>
      <c r="C137" s="54"/>
      <c r="D137" s="54">
        <f>29810.88*I137/L137</f>
        <v>25101.48</v>
      </c>
      <c r="E137" s="100" t="s">
        <v>164</v>
      </c>
      <c r="F137" s="37"/>
      <c r="G137" s="54">
        <f t="shared" si="12"/>
        <v>9.7899999999999991</v>
      </c>
      <c r="H137" s="54">
        <f t="shared" si="13"/>
        <v>0.82</v>
      </c>
      <c r="I137" s="14">
        <v>2564.3000000000002</v>
      </c>
      <c r="J137" s="14"/>
      <c r="K137" s="15"/>
      <c r="L137" s="22">
        <v>3045.4</v>
      </c>
    </row>
    <row r="138" spans="1:12" s="22" customFormat="1" ht="16.5" customHeight="1" x14ac:dyDescent="0.2">
      <c r="A138" s="100" t="s">
        <v>165</v>
      </c>
      <c r="B138" s="37"/>
      <c r="C138" s="54"/>
      <c r="D138" s="54">
        <v>69893.97</v>
      </c>
      <c r="E138" s="100" t="s">
        <v>165</v>
      </c>
      <c r="F138" s="37"/>
      <c r="G138" s="54">
        <f t="shared" si="12"/>
        <v>27.26</v>
      </c>
      <c r="H138" s="54">
        <f t="shared" si="13"/>
        <v>2.27</v>
      </c>
      <c r="I138" s="14">
        <v>2564.3000000000002</v>
      </c>
      <c r="J138" s="14"/>
      <c r="K138" s="15"/>
    </row>
    <row r="139" spans="1:12" s="22" customFormat="1" ht="16.5" customHeight="1" x14ac:dyDescent="0.2">
      <c r="A139" s="100" t="s">
        <v>166</v>
      </c>
      <c r="B139" s="37"/>
      <c r="C139" s="54"/>
      <c r="D139" s="54">
        <v>12719.09</v>
      </c>
      <c r="E139" s="100" t="s">
        <v>166</v>
      </c>
      <c r="F139" s="37"/>
      <c r="G139" s="54">
        <f t="shared" si="12"/>
        <v>4.96</v>
      </c>
      <c r="H139" s="54">
        <f t="shared" si="13"/>
        <v>0.41</v>
      </c>
      <c r="I139" s="14">
        <v>2564.3000000000002</v>
      </c>
      <c r="J139" s="14"/>
      <c r="K139" s="15"/>
    </row>
    <row r="140" spans="1:12" s="22" customFormat="1" ht="16.5" customHeight="1" x14ac:dyDescent="0.2">
      <c r="A140" s="95"/>
      <c r="B140" s="123"/>
      <c r="C140" s="124"/>
      <c r="D140" s="124"/>
      <c r="E140" s="124"/>
      <c r="F140" s="124"/>
      <c r="G140" s="124"/>
      <c r="H140" s="124"/>
      <c r="I140" s="14"/>
      <c r="J140" s="14"/>
      <c r="K140" s="15"/>
    </row>
    <row r="141" spans="1:12" s="98" customFormat="1" ht="19.5" thickBot="1" x14ac:dyDescent="0.45">
      <c r="A141" s="95"/>
      <c r="B141" s="96"/>
      <c r="C141" s="97"/>
      <c r="D141" s="97"/>
      <c r="E141" s="97"/>
      <c r="F141" s="97"/>
      <c r="G141" s="97"/>
      <c r="H141" s="97"/>
      <c r="K141" s="99"/>
    </row>
    <row r="142" spans="1:12" s="98" customFormat="1" ht="20.25" thickBot="1" x14ac:dyDescent="0.45">
      <c r="A142" s="82" t="s">
        <v>129</v>
      </c>
      <c r="B142" s="101"/>
      <c r="C142" s="101"/>
      <c r="D142" s="102">
        <f>D118+D122</f>
        <v>781126.73</v>
      </c>
      <c r="E142" s="102" t="e">
        <f>E118+E122</f>
        <v>#REF!</v>
      </c>
      <c r="F142" s="102" t="e">
        <f>F118+F122</f>
        <v>#REF!</v>
      </c>
      <c r="G142" s="102">
        <f>G118+G122</f>
        <v>308.5</v>
      </c>
      <c r="H142" s="102">
        <f>H118+H122</f>
        <v>25.71</v>
      </c>
      <c r="K142" s="99"/>
    </row>
    <row r="143" spans="1:12" s="98" customFormat="1" ht="19.5" x14ac:dyDescent="0.4">
      <c r="A143" s="103"/>
      <c r="B143" s="104"/>
      <c r="C143" s="104"/>
      <c r="D143" s="105"/>
      <c r="E143" s="104"/>
      <c r="F143" s="104"/>
      <c r="G143" s="105"/>
      <c r="H143" s="105"/>
      <c r="K143" s="99"/>
    </row>
    <row r="144" spans="1:12" s="98" customFormat="1" ht="19.5" x14ac:dyDescent="0.4">
      <c r="A144" s="103"/>
      <c r="B144" s="104"/>
      <c r="C144" s="104"/>
      <c r="D144" s="105"/>
      <c r="E144" s="104"/>
      <c r="F144" s="104"/>
      <c r="G144" s="105"/>
      <c r="H144" s="105"/>
      <c r="K144" s="99"/>
    </row>
    <row r="145" spans="1:11" s="98" customFormat="1" ht="19.5" x14ac:dyDescent="0.4">
      <c r="A145" s="103"/>
      <c r="B145" s="104"/>
      <c r="C145" s="104"/>
      <c r="D145" s="105"/>
      <c r="E145" s="104"/>
      <c r="F145" s="104"/>
      <c r="G145" s="105"/>
      <c r="H145" s="105"/>
      <c r="K145" s="99"/>
    </row>
    <row r="146" spans="1:11" s="90" customFormat="1" ht="19.5" x14ac:dyDescent="0.2">
      <c r="A146" s="106"/>
      <c r="B146" s="104"/>
      <c r="C146" s="105"/>
      <c r="D146" s="105"/>
      <c r="E146" s="105"/>
      <c r="F146" s="105"/>
      <c r="G146" s="105"/>
      <c r="H146" s="105"/>
      <c r="K146" s="91"/>
    </row>
    <row r="147" spans="1:11" s="93" customFormat="1" ht="14.25" x14ac:dyDescent="0.2">
      <c r="A147" s="142" t="s">
        <v>130</v>
      </c>
      <c r="B147" s="142"/>
      <c r="C147" s="142"/>
      <c r="D147" s="142"/>
      <c r="E147" s="142"/>
      <c r="F147" s="142"/>
      <c r="K147" s="94"/>
    </row>
    <row r="148" spans="1:11" s="93" customFormat="1" x14ac:dyDescent="0.2">
      <c r="K148" s="94"/>
    </row>
    <row r="149" spans="1:11" s="93" customFormat="1" x14ac:dyDescent="0.2">
      <c r="A149" s="92" t="s">
        <v>131</v>
      </c>
      <c r="K149" s="94"/>
    </row>
    <row r="150" spans="1:11" s="93" customFormat="1" x14ac:dyDescent="0.2">
      <c r="K150" s="94"/>
    </row>
    <row r="151" spans="1:11" s="93" customFormat="1" x14ac:dyDescent="0.2">
      <c r="K151" s="94"/>
    </row>
    <row r="152" spans="1:11" s="93" customFormat="1" x14ac:dyDescent="0.2">
      <c r="K152" s="94"/>
    </row>
    <row r="153" spans="1:11" s="93" customFormat="1" x14ac:dyDescent="0.2">
      <c r="K153" s="94"/>
    </row>
    <row r="154" spans="1:11" s="93" customFormat="1" x14ac:dyDescent="0.2">
      <c r="K154" s="94"/>
    </row>
    <row r="155" spans="1:11" s="93" customFormat="1" x14ac:dyDescent="0.2">
      <c r="K155" s="94"/>
    </row>
    <row r="156" spans="1:11" s="93" customFormat="1" x14ac:dyDescent="0.2">
      <c r="K156" s="94"/>
    </row>
    <row r="157" spans="1:11" s="93" customFormat="1" x14ac:dyDescent="0.2">
      <c r="K157" s="94"/>
    </row>
    <row r="158" spans="1:11" s="93" customFormat="1" x14ac:dyDescent="0.2">
      <c r="K158" s="94"/>
    </row>
    <row r="159" spans="1:11" s="93" customFormat="1" x14ac:dyDescent="0.2">
      <c r="K159" s="94"/>
    </row>
    <row r="160" spans="1:11" s="93" customFormat="1" x14ac:dyDescent="0.2">
      <c r="K160" s="94"/>
    </row>
    <row r="161" spans="11:11" s="93" customFormat="1" x14ac:dyDescent="0.2">
      <c r="K161" s="94"/>
    </row>
    <row r="162" spans="11:11" s="93" customFormat="1" x14ac:dyDescent="0.2">
      <c r="K162" s="94"/>
    </row>
    <row r="163" spans="11:11" s="93" customFormat="1" x14ac:dyDescent="0.2">
      <c r="K163" s="94"/>
    </row>
    <row r="164" spans="11:11" s="93" customFormat="1" x14ac:dyDescent="0.2">
      <c r="K164" s="94"/>
    </row>
    <row r="165" spans="11:11" s="93" customFormat="1" x14ac:dyDescent="0.2">
      <c r="K165" s="94"/>
    </row>
    <row r="166" spans="11:11" s="93" customFormat="1" x14ac:dyDescent="0.2">
      <c r="K166" s="94"/>
    </row>
    <row r="167" spans="11:11" s="93" customFormat="1" x14ac:dyDescent="0.2">
      <c r="K167" s="94"/>
    </row>
  </sheetData>
  <mergeCells count="12">
    <mergeCell ref="A8:H8"/>
    <mergeCell ref="A7:H7"/>
    <mergeCell ref="A1:H1"/>
    <mergeCell ref="B2:H2"/>
    <mergeCell ref="B3:H3"/>
    <mergeCell ref="B5:H5"/>
    <mergeCell ref="A6:H6"/>
    <mergeCell ref="A9:H9"/>
    <mergeCell ref="A10:H10"/>
    <mergeCell ref="A11:H11"/>
    <mergeCell ref="A14:H14"/>
    <mergeCell ref="A147:F147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6"/>
  <sheetViews>
    <sheetView tabSelected="1" topLeftCell="A31" zoomScale="75" workbookViewId="0">
      <selection activeCell="D41" sqref="D41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140625" style="1" customWidth="1"/>
    <col min="5" max="5" width="13.85546875" style="1" hidden="1" customWidth="1"/>
    <col min="6" max="6" width="20.85546875" style="1" hidden="1" customWidth="1"/>
    <col min="7" max="7" width="15.71093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43" t="s">
        <v>0</v>
      </c>
      <c r="B1" s="144"/>
      <c r="C1" s="144"/>
      <c r="D1" s="144"/>
      <c r="E1" s="144"/>
      <c r="F1" s="144"/>
      <c r="G1" s="144"/>
      <c r="H1" s="144"/>
    </row>
    <row r="2" spans="1:12" ht="12.75" customHeight="1" x14ac:dyDescent="0.3">
      <c r="B2" s="145" t="s">
        <v>1</v>
      </c>
      <c r="C2" s="145"/>
      <c r="D2" s="145"/>
      <c r="E2" s="145"/>
      <c r="F2" s="145"/>
      <c r="G2" s="144"/>
      <c r="H2" s="144"/>
    </row>
    <row r="3" spans="1:12" ht="21" customHeight="1" x14ac:dyDescent="0.3">
      <c r="A3" s="3" t="s">
        <v>161</v>
      </c>
      <c r="B3" s="145" t="s">
        <v>2</v>
      </c>
      <c r="C3" s="145"/>
      <c r="D3" s="145"/>
      <c r="E3" s="145"/>
      <c r="F3" s="145"/>
      <c r="G3" s="144"/>
      <c r="H3" s="144"/>
    </row>
    <row r="4" spans="1:12" ht="21" customHeight="1" x14ac:dyDescent="0.3">
      <c r="A4" s="3"/>
      <c r="B4" s="128"/>
      <c r="C4" s="128"/>
      <c r="D4" s="128"/>
      <c r="E4" s="128"/>
      <c r="F4" s="128"/>
      <c r="G4" s="127"/>
      <c r="H4" s="127"/>
    </row>
    <row r="5" spans="1:12" ht="14.25" customHeight="1" x14ac:dyDescent="0.3">
      <c r="B5" s="145" t="s">
        <v>3</v>
      </c>
      <c r="C5" s="145"/>
      <c r="D5" s="145"/>
      <c r="E5" s="145"/>
      <c r="F5" s="145"/>
      <c r="G5" s="144"/>
      <c r="H5" s="144"/>
    </row>
    <row r="6" spans="1:12" ht="18" customHeight="1" x14ac:dyDescent="0.4">
      <c r="A6" s="146"/>
      <c r="B6" s="146"/>
      <c r="C6" s="146"/>
      <c r="D6" s="146"/>
      <c r="E6" s="146"/>
      <c r="F6" s="146"/>
      <c r="G6" s="146"/>
      <c r="H6" s="146"/>
    </row>
    <row r="7" spans="1:12" ht="18" customHeight="1" x14ac:dyDescent="0.2">
      <c r="A7" s="147" t="s">
        <v>162</v>
      </c>
      <c r="B7" s="147"/>
      <c r="C7" s="147"/>
      <c r="D7" s="147"/>
      <c r="E7" s="147"/>
      <c r="F7" s="147"/>
      <c r="G7" s="147"/>
      <c r="H7" s="147"/>
    </row>
    <row r="8" spans="1:12" s="6" customFormat="1" ht="22.5" customHeight="1" x14ac:dyDescent="0.4">
      <c r="A8" s="132" t="s">
        <v>4</v>
      </c>
      <c r="B8" s="132"/>
      <c r="C8" s="132"/>
      <c r="D8" s="132"/>
      <c r="E8" s="133"/>
      <c r="F8" s="133"/>
      <c r="G8" s="133"/>
      <c r="H8" s="133"/>
      <c r="K8" s="7"/>
    </row>
    <row r="9" spans="1:12" s="8" customFormat="1" ht="18.75" customHeight="1" x14ac:dyDescent="0.4">
      <c r="A9" s="132" t="s">
        <v>167</v>
      </c>
      <c r="B9" s="132"/>
      <c r="C9" s="132"/>
      <c r="D9" s="132"/>
      <c r="E9" s="133"/>
      <c r="F9" s="133"/>
      <c r="G9" s="133"/>
      <c r="H9" s="133"/>
    </row>
    <row r="10" spans="1:12" s="9" customFormat="1" ht="17.25" customHeight="1" x14ac:dyDescent="0.2">
      <c r="A10" s="134" t="s">
        <v>5</v>
      </c>
      <c r="B10" s="134"/>
      <c r="C10" s="134"/>
      <c r="D10" s="134"/>
      <c r="E10" s="135"/>
      <c r="F10" s="135"/>
      <c r="G10" s="135"/>
      <c r="H10" s="135"/>
    </row>
    <row r="11" spans="1:12" s="8" customFormat="1" ht="30" customHeight="1" thickBot="1" x14ac:dyDescent="0.25">
      <c r="A11" s="136" t="s">
        <v>6</v>
      </c>
      <c r="B11" s="136"/>
      <c r="C11" s="136"/>
      <c r="D11" s="136"/>
      <c r="E11" s="137"/>
      <c r="F11" s="137"/>
      <c r="G11" s="137"/>
      <c r="H11" s="137"/>
    </row>
    <row r="12" spans="1:12" s="14" customFormat="1" ht="139.5" customHeight="1" thickBot="1" x14ac:dyDescent="0.25">
      <c r="A12" s="10" t="s">
        <v>7</v>
      </c>
      <c r="B12" s="11" t="s">
        <v>8</v>
      </c>
      <c r="C12" s="12" t="s">
        <v>9</v>
      </c>
      <c r="D12" s="12" t="s">
        <v>10</v>
      </c>
      <c r="E12" s="12" t="s">
        <v>9</v>
      </c>
      <c r="F12" s="13" t="s">
        <v>11</v>
      </c>
      <c r="G12" s="12" t="s">
        <v>9</v>
      </c>
      <c r="H12" s="13" t="s">
        <v>11</v>
      </c>
      <c r="K12" s="15"/>
    </row>
    <row r="13" spans="1:12" s="22" customFormat="1" x14ac:dyDescent="0.2">
      <c r="A13" s="16">
        <v>1</v>
      </c>
      <c r="B13" s="17">
        <v>2</v>
      </c>
      <c r="C13" s="17">
        <v>3</v>
      </c>
      <c r="D13" s="18"/>
      <c r="E13" s="17">
        <v>3</v>
      </c>
      <c r="F13" s="19">
        <v>4</v>
      </c>
      <c r="G13" s="20">
        <v>3</v>
      </c>
      <c r="H13" s="21">
        <v>4</v>
      </c>
      <c r="K13" s="23"/>
    </row>
    <row r="14" spans="1:12" s="22" customFormat="1" ht="49.5" customHeight="1" x14ac:dyDescent="0.2">
      <c r="A14" s="138" t="s">
        <v>12</v>
      </c>
      <c r="B14" s="139"/>
      <c r="C14" s="139"/>
      <c r="D14" s="139"/>
      <c r="E14" s="139"/>
      <c r="F14" s="139"/>
      <c r="G14" s="140"/>
      <c r="H14" s="141"/>
      <c r="K14" s="23"/>
    </row>
    <row r="15" spans="1:12" s="14" customFormat="1" ht="15" x14ac:dyDescent="0.2">
      <c r="A15" s="24" t="s">
        <v>140</v>
      </c>
      <c r="B15" s="25" t="s">
        <v>13</v>
      </c>
      <c r="C15" s="26">
        <f>F15*12</f>
        <v>0</v>
      </c>
      <c r="D15" s="38">
        <f>G15*I15</f>
        <v>90776.22</v>
      </c>
      <c r="E15" s="26">
        <f>H15*12</f>
        <v>35.4</v>
      </c>
      <c r="F15" s="39"/>
      <c r="G15" s="26">
        <f>H15*12</f>
        <v>35.4</v>
      </c>
      <c r="H15" s="26">
        <f>H20+H22</f>
        <v>2.95</v>
      </c>
      <c r="I15" s="14">
        <v>2564.3000000000002</v>
      </c>
      <c r="J15" s="14">
        <v>1.07</v>
      </c>
      <c r="K15" s="15">
        <v>2.2400000000000002</v>
      </c>
      <c r="L15" s="14">
        <v>3045.4</v>
      </c>
    </row>
    <row r="16" spans="1:12" s="14" customFormat="1" ht="29.25" customHeight="1" x14ac:dyDescent="0.2">
      <c r="A16" s="30" t="s">
        <v>14</v>
      </c>
      <c r="B16" s="31" t="s">
        <v>15</v>
      </c>
      <c r="C16" s="32"/>
      <c r="D16" s="33"/>
      <c r="E16" s="32"/>
      <c r="F16" s="34"/>
      <c r="G16" s="32"/>
      <c r="H16" s="32"/>
      <c r="K16" s="15"/>
    </row>
    <row r="17" spans="1:12" s="14" customFormat="1" ht="15" x14ac:dyDescent="0.2">
      <c r="A17" s="30" t="s">
        <v>16</v>
      </c>
      <c r="B17" s="31" t="s">
        <v>15</v>
      </c>
      <c r="C17" s="32"/>
      <c r="D17" s="33"/>
      <c r="E17" s="32"/>
      <c r="F17" s="34"/>
      <c r="G17" s="32"/>
      <c r="H17" s="32"/>
      <c r="K17" s="15"/>
    </row>
    <row r="18" spans="1:12" s="14" customFormat="1" ht="15" x14ac:dyDescent="0.2">
      <c r="A18" s="30" t="s">
        <v>17</v>
      </c>
      <c r="B18" s="31" t="s">
        <v>18</v>
      </c>
      <c r="C18" s="32"/>
      <c r="D18" s="33"/>
      <c r="E18" s="32"/>
      <c r="F18" s="34"/>
      <c r="G18" s="32"/>
      <c r="H18" s="32"/>
      <c r="K18" s="15"/>
    </row>
    <row r="19" spans="1:12" s="14" customFormat="1" ht="15" x14ac:dyDescent="0.2">
      <c r="A19" s="30" t="s">
        <v>19</v>
      </c>
      <c r="B19" s="31" t="s">
        <v>15</v>
      </c>
      <c r="C19" s="32"/>
      <c r="D19" s="33"/>
      <c r="E19" s="32"/>
      <c r="F19" s="34"/>
      <c r="G19" s="32"/>
      <c r="H19" s="32"/>
      <c r="K19" s="15"/>
    </row>
    <row r="20" spans="1:12" s="14" customFormat="1" ht="15" x14ac:dyDescent="0.2">
      <c r="A20" s="24" t="s">
        <v>139</v>
      </c>
      <c r="B20" s="31"/>
      <c r="C20" s="32"/>
      <c r="D20" s="33"/>
      <c r="E20" s="32"/>
      <c r="F20" s="34"/>
      <c r="G20" s="32"/>
      <c r="H20" s="26">
        <v>2.83</v>
      </c>
      <c r="K20" s="15"/>
    </row>
    <row r="21" spans="1:12" s="14" customFormat="1" ht="15" x14ac:dyDescent="0.2">
      <c r="A21" s="30" t="s">
        <v>137</v>
      </c>
      <c r="B21" s="31" t="s">
        <v>15</v>
      </c>
      <c r="C21" s="32"/>
      <c r="D21" s="33"/>
      <c r="E21" s="32"/>
      <c r="F21" s="34"/>
      <c r="G21" s="32"/>
      <c r="H21" s="32">
        <v>0.12</v>
      </c>
      <c r="K21" s="15"/>
    </row>
    <row r="22" spans="1:12" s="14" customFormat="1" ht="15" x14ac:dyDescent="0.2">
      <c r="A22" s="24" t="s">
        <v>139</v>
      </c>
      <c r="B22" s="31"/>
      <c r="C22" s="32"/>
      <c r="D22" s="33"/>
      <c r="E22" s="32"/>
      <c r="F22" s="34"/>
      <c r="G22" s="32"/>
      <c r="H22" s="26">
        <f>H21</f>
        <v>0.12</v>
      </c>
      <c r="K22" s="15"/>
    </row>
    <row r="23" spans="1:12" s="14" customFormat="1" ht="30" x14ac:dyDescent="0.2">
      <c r="A23" s="24" t="s">
        <v>20</v>
      </c>
      <c r="B23" s="35"/>
      <c r="C23" s="26">
        <f>F23*12</f>
        <v>0</v>
      </c>
      <c r="D23" s="38">
        <v>13768.65</v>
      </c>
      <c r="E23" s="26">
        <f>H23*12</f>
        <v>5.4</v>
      </c>
      <c r="F23" s="39"/>
      <c r="G23" s="26">
        <f>D23/I23</f>
        <v>5.37</v>
      </c>
      <c r="H23" s="26">
        <f>G23/12</f>
        <v>0.45</v>
      </c>
      <c r="I23" s="14">
        <v>2564.3000000000002</v>
      </c>
      <c r="J23" s="14">
        <v>1.07</v>
      </c>
      <c r="K23" s="15">
        <v>1.27</v>
      </c>
    </row>
    <row r="24" spans="1:12" s="14" customFormat="1" ht="15" x14ac:dyDescent="0.2">
      <c r="A24" s="36" t="s">
        <v>21</v>
      </c>
      <c r="B24" s="37" t="s">
        <v>22</v>
      </c>
      <c r="C24" s="26"/>
      <c r="D24" s="38"/>
      <c r="E24" s="26"/>
      <c r="F24" s="39"/>
      <c r="G24" s="26"/>
      <c r="H24" s="26"/>
      <c r="K24" s="15"/>
    </row>
    <row r="25" spans="1:12" s="14" customFormat="1" ht="15" x14ac:dyDescent="0.2">
      <c r="A25" s="36" t="s">
        <v>23</v>
      </c>
      <c r="B25" s="37" t="s">
        <v>22</v>
      </c>
      <c r="C25" s="26"/>
      <c r="D25" s="38"/>
      <c r="E25" s="26"/>
      <c r="F25" s="39"/>
      <c r="G25" s="26"/>
      <c r="H25" s="26"/>
      <c r="K25" s="15"/>
    </row>
    <row r="26" spans="1:12" s="14" customFormat="1" ht="15" x14ac:dyDescent="0.2">
      <c r="A26" s="40" t="s">
        <v>24</v>
      </c>
      <c r="B26" s="41" t="s">
        <v>25</v>
      </c>
      <c r="C26" s="26"/>
      <c r="D26" s="38"/>
      <c r="E26" s="26"/>
      <c r="F26" s="39"/>
      <c r="G26" s="26"/>
      <c r="H26" s="26"/>
      <c r="K26" s="15"/>
    </row>
    <row r="27" spans="1:12" s="14" customFormat="1" ht="15" x14ac:dyDescent="0.2">
      <c r="A27" s="36" t="s">
        <v>26</v>
      </c>
      <c r="B27" s="37" t="s">
        <v>22</v>
      </c>
      <c r="C27" s="26"/>
      <c r="D27" s="38"/>
      <c r="E27" s="26"/>
      <c r="F27" s="39"/>
      <c r="G27" s="26"/>
      <c r="H27" s="26"/>
      <c r="K27" s="15"/>
    </row>
    <row r="28" spans="1:12" s="14" customFormat="1" ht="25.5" x14ac:dyDescent="0.2">
      <c r="A28" s="36" t="s">
        <v>27</v>
      </c>
      <c r="B28" s="37" t="s">
        <v>28</v>
      </c>
      <c r="C28" s="26"/>
      <c r="D28" s="38"/>
      <c r="E28" s="26"/>
      <c r="F28" s="39"/>
      <c r="G28" s="26"/>
      <c r="H28" s="26"/>
      <c r="K28" s="15"/>
    </row>
    <row r="29" spans="1:12" s="14" customFormat="1" ht="15" x14ac:dyDescent="0.2">
      <c r="A29" s="36" t="s">
        <v>29</v>
      </c>
      <c r="B29" s="37" t="s">
        <v>22</v>
      </c>
      <c r="C29" s="26"/>
      <c r="D29" s="38"/>
      <c r="E29" s="26"/>
      <c r="F29" s="39"/>
      <c r="G29" s="26"/>
      <c r="H29" s="26"/>
      <c r="K29" s="15"/>
    </row>
    <row r="30" spans="1:12" s="14" customFormat="1" ht="15" x14ac:dyDescent="0.2">
      <c r="A30" s="42" t="s">
        <v>30</v>
      </c>
      <c r="B30" s="43" t="s">
        <v>22</v>
      </c>
      <c r="C30" s="26"/>
      <c r="D30" s="38"/>
      <c r="E30" s="26"/>
      <c r="F30" s="39"/>
      <c r="G30" s="26"/>
      <c r="H30" s="26"/>
      <c r="K30" s="15"/>
    </row>
    <row r="31" spans="1:12" s="14" customFormat="1" ht="26.25" thickBot="1" x14ac:dyDescent="0.25">
      <c r="A31" s="44" t="s">
        <v>31</v>
      </c>
      <c r="B31" s="45" t="s">
        <v>32</v>
      </c>
      <c r="C31" s="26"/>
      <c r="D31" s="38"/>
      <c r="E31" s="26"/>
      <c r="F31" s="39"/>
      <c r="G31" s="26"/>
      <c r="H31" s="26"/>
      <c r="K31" s="15"/>
    </row>
    <row r="32" spans="1:12" s="47" customFormat="1" ht="21" customHeight="1" x14ac:dyDescent="0.2">
      <c r="A32" s="46" t="s">
        <v>33</v>
      </c>
      <c r="B32" s="25" t="s">
        <v>34</v>
      </c>
      <c r="C32" s="26">
        <f>F32*12</f>
        <v>0</v>
      </c>
      <c r="D32" s="38">
        <f>G32*I32</f>
        <v>23078.7</v>
      </c>
      <c r="E32" s="26">
        <f>H32*12</f>
        <v>9</v>
      </c>
      <c r="F32" s="48"/>
      <c r="G32" s="26">
        <f>H32*12</f>
        <v>9</v>
      </c>
      <c r="H32" s="26">
        <v>0.75</v>
      </c>
      <c r="I32" s="14">
        <v>2564.3000000000002</v>
      </c>
      <c r="J32" s="14">
        <v>1.07</v>
      </c>
      <c r="K32" s="15">
        <v>0.6</v>
      </c>
      <c r="L32" s="47">
        <v>3045.4</v>
      </c>
    </row>
    <row r="33" spans="1:12" s="14" customFormat="1" ht="15" x14ac:dyDescent="0.2">
      <c r="A33" s="46" t="s">
        <v>35</v>
      </c>
      <c r="B33" s="25" t="s">
        <v>36</v>
      </c>
      <c r="C33" s="26">
        <f>F33*12</f>
        <v>0</v>
      </c>
      <c r="D33" s="38">
        <f>G33*I33</f>
        <v>75390.42</v>
      </c>
      <c r="E33" s="26">
        <f>H33*12</f>
        <v>29.4</v>
      </c>
      <c r="F33" s="48"/>
      <c r="G33" s="26">
        <f>H33*12</f>
        <v>29.4</v>
      </c>
      <c r="H33" s="26">
        <v>2.4500000000000002</v>
      </c>
      <c r="I33" s="14">
        <v>2564.3000000000002</v>
      </c>
      <c r="J33" s="14">
        <v>1.07</v>
      </c>
      <c r="K33" s="15">
        <v>1.94</v>
      </c>
      <c r="L33" s="14">
        <v>3045.4</v>
      </c>
    </row>
    <row r="34" spans="1:12" s="14" customFormat="1" ht="15" x14ac:dyDescent="0.2">
      <c r="A34" s="46" t="s">
        <v>37</v>
      </c>
      <c r="B34" s="25" t="s">
        <v>22</v>
      </c>
      <c r="C34" s="26">
        <f>F34*12</f>
        <v>0</v>
      </c>
      <c r="D34" s="38">
        <f>G34*I34</f>
        <v>47080.55</v>
      </c>
      <c r="E34" s="26">
        <f>H34*12</f>
        <v>18.36</v>
      </c>
      <c r="F34" s="48"/>
      <c r="G34" s="26">
        <f>H34*12</f>
        <v>18.36</v>
      </c>
      <c r="H34" s="26">
        <v>1.53</v>
      </c>
      <c r="I34" s="14">
        <v>2564.3000000000002</v>
      </c>
      <c r="J34" s="14">
        <v>1.07</v>
      </c>
      <c r="K34" s="15">
        <v>1.21</v>
      </c>
    </row>
    <row r="35" spans="1:12" s="14" customFormat="1" ht="15" hidden="1" x14ac:dyDescent="0.2">
      <c r="A35" s="36" t="s">
        <v>38</v>
      </c>
      <c r="B35" s="37" t="s">
        <v>39</v>
      </c>
      <c r="C35" s="26"/>
      <c r="D35" s="38"/>
      <c r="E35" s="26"/>
      <c r="F35" s="48"/>
      <c r="G35" s="26">
        <f t="shared" ref="G35:G39" si="0">D35/I35</f>
        <v>0</v>
      </c>
      <c r="H35" s="26">
        <f t="shared" ref="H35:H53" si="1">G35/12</f>
        <v>0</v>
      </c>
      <c r="I35" s="14">
        <v>2564.3000000000002</v>
      </c>
      <c r="J35" s="14">
        <v>1.07</v>
      </c>
      <c r="K35" s="15">
        <v>0</v>
      </c>
    </row>
    <row r="36" spans="1:12" s="14" customFormat="1" ht="15" hidden="1" x14ac:dyDescent="0.2">
      <c r="A36" s="36" t="s">
        <v>40</v>
      </c>
      <c r="B36" s="37" t="s">
        <v>41</v>
      </c>
      <c r="C36" s="26"/>
      <c r="D36" s="38"/>
      <c r="E36" s="26"/>
      <c r="F36" s="48"/>
      <c r="G36" s="26">
        <f t="shared" si="0"/>
        <v>0</v>
      </c>
      <c r="H36" s="26">
        <f t="shared" si="1"/>
        <v>0</v>
      </c>
      <c r="I36" s="14">
        <v>2564.3000000000002</v>
      </c>
      <c r="J36" s="14">
        <v>1.07</v>
      </c>
      <c r="K36" s="15">
        <v>0</v>
      </c>
    </row>
    <row r="37" spans="1:12" s="14" customFormat="1" ht="15" hidden="1" x14ac:dyDescent="0.2">
      <c r="A37" s="36" t="s">
        <v>42</v>
      </c>
      <c r="B37" s="37" t="s">
        <v>41</v>
      </c>
      <c r="C37" s="26"/>
      <c r="D37" s="38"/>
      <c r="E37" s="26"/>
      <c r="F37" s="48"/>
      <c r="G37" s="26">
        <f t="shared" si="0"/>
        <v>0</v>
      </c>
      <c r="H37" s="26">
        <f t="shared" si="1"/>
        <v>0</v>
      </c>
      <c r="I37" s="14">
        <v>2564.3000000000002</v>
      </c>
      <c r="J37" s="14">
        <v>1.07</v>
      </c>
      <c r="K37" s="15">
        <v>0</v>
      </c>
    </row>
    <row r="38" spans="1:12" s="14" customFormat="1" ht="15" hidden="1" x14ac:dyDescent="0.2">
      <c r="A38" s="36" t="s">
        <v>43</v>
      </c>
      <c r="B38" s="37" t="s">
        <v>44</v>
      </c>
      <c r="C38" s="26"/>
      <c r="D38" s="38"/>
      <c r="E38" s="26"/>
      <c r="F38" s="48"/>
      <c r="G38" s="26">
        <f t="shared" si="0"/>
        <v>0</v>
      </c>
      <c r="H38" s="26">
        <f t="shared" si="1"/>
        <v>0</v>
      </c>
      <c r="I38" s="14">
        <v>2564.3000000000002</v>
      </c>
      <c r="J38" s="14">
        <v>1.07</v>
      </c>
      <c r="K38" s="15">
        <v>0</v>
      </c>
    </row>
    <row r="39" spans="1:12" s="14" customFormat="1" ht="25.5" hidden="1" x14ac:dyDescent="0.2">
      <c r="A39" s="36" t="s">
        <v>45</v>
      </c>
      <c r="B39" s="37" t="s">
        <v>28</v>
      </c>
      <c r="C39" s="26"/>
      <c r="D39" s="38"/>
      <c r="E39" s="26"/>
      <c r="F39" s="48"/>
      <c r="G39" s="26">
        <f t="shared" si="0"/>
        <v>0</v>
      </c>
      <c r="H39" s="26">
        <f t="shared" si="1"/>
        <v>0</v>
      </c>
      <c r="I39" s="14">
        <v>2564.3000000000002</v>
      </c>
      <c r="J39" s="14">
        <v>1.07</v>
      </c>
      <c r="K39" s="15">
        <v>0</v>
      </c>
    </row>
    <row r="40" spans="1:12" s="14" customFormat="1" ht="45" x14ac:dyDescent="0.2">
      <c r="A40" s="46" t="s">
        <v>46</v>
      </c>
      <c r="B40" s="25" t="s">
        <v>141</v>
      </c>
      <c r="C40" s="26"/>
      <c r="D40" s="38">
        <f>3407.5*1.105</f>
        <v>3765.29</v>
      </c>
      <c r="E40" s="26"/>
      <c r="F40" s="48"/>
      <c r="G40" s="26">
        <f>D40/I40</f>
        <v>1.47</v>
      </c>
      <c r="H40" s="26">
        <f>G40/12</f>
        <v>0.12</v>
      </c>
      <c r="I40" s="14">
        <v>2564.3000000000002</v>
      </c>
      <c r="K40" s="15"/>
    </row>
    <row r="41" spans="1:12" s="14" customFormat="1" ht="20.25" customHeight="1" x14ac:dyDescent="0.2">
      <c r="A41" s="46" t="s">
        <v>47</v>
      </c>
      <c r="B41" s="25" t="s">
        <v>22</v>
      </c>
      <c r="C41" s="26">
        <f>F41*12</f>
        <v>0</v>
      </c>
      <c r="D41" s="38">
        <f>G41*I41</f>
        <v>54465.73</v>
      </c>
      <c r="E41" s="26">
        <f>H41*12</f>
        <v>21.24</v>
      </c>
      <c r="F41" s="48"/>
      <c r="G41" s="26">
        <f>H41*12</f>
        <v>21.24</v>
      </c>
      <c r="H41" s="26">
        <v>1.77</v>
      </c>
      <c r="I41" s="14">
        <v>2564.3000000000002</v>
      </c>
      <c r="J41" s="14">
        <v>1.07</v>
      </c>
      <c r="K41" s="15">
        <v>1.4</v>
      </c>
    </row>
    <row r="42" spans="1:12" s="14" customFormat="1" ht="15" hidden="1" x14ac:dyDescent="0.2">
      <c r="A42" s="36" t="s">
        <v>48</v>
      </c>
      <c r="B42" s="37" t="s">
        <v>41</v>
      </c>
      <c r="C42" s="26"/>
      <c r="D42" s="38">
        <f t="shared" ref="D42:D47" ca="1" si="2">G42*I42</f>
        <v>49234.559999999998</v>
      </c>
      <c r="E42" s="26">
        <f t="shared" ref="E42:E47" ca="1" si="3">H42*12</f>
        <v>19.2</v>
      </c>
      <c r="F42" s="48"/>
      <c r="G42" s="26">
        <f t="shared" ref="G42:G47" ca="1" si="4">H42*12</f>
        <v>19.2</v>
      </c>
      <c r="H42" s="26">
        <f t="shared" ca="1" si="1"/>
        <v>0</v>
      </c>
      <c r="J42" s="14">
        <v>1.07</v>
      </c>
      <c r="K42" s="15">
        <v>0</v>
      </c>
    </row>
    <row r="43" spans="1:12" s="14" customFormat="1" ht="15" hidden="1" x14ac:dyDescent="0.2">
      <c r="A43" s="36" t="s">
        <v>49</v>
      </c>
      <c r="B43" s="37" t="s">
        <v>44</v>
      </c>
      <c r="C43" s="26"/>
      <c r="D43" s="38">
        <f t="shared" ca="1" si="2"/>
        <v>49234.559999999998</v>
      </c>
      <c r="E43" s="26">
        <f t="shared" ca="1" si="3"/>
        <v>19.2</v>
      </c>
      <c r="F43" s="48"/>
      <c r="G43" s="26">
        <f t="shared" ca="1" si="4"/>
        <v>19.2</v>
      </c>
      <c r="H43" s="26">
        <f t="shared" ca="1" si="1"/>
        <v>0</v>
      </c>
      <c r="J43" s="14">
        <v>1.07</v>
      </c>
      <c r="K43" s="15">
        <v>0</v>
      </c>
    </row>
    <row r="44" spans="1:12" s="14" customFormat="1" ht="25.5" hidden="1" x14ac:dyDescent="0.2">
      <c r="A44" s="36" t="s">
        <v>50</v>
      </c>
      <c r="B44" s="37" t="s">
        <v>51</v>
      </c>
      <c r="C44" s="26"/>
      <c r="D44" s="38">
        <f t="shared" ca="1" si="2"/>
        <v>49234.559999999998</v>
      </c>
      <c r="E44" s="26">
        <f t="shared" ca="1" si="3"/>
        <v>19.2</v>
      </c>
      <c r="F44" s="48"/>
      <c r="G44" s="26">
        <f t="shared" ca="1" si="4"/>
        <v>19.2</v>
      </c>
      <c r="H44" s="26">
        <f t="shared" ca="1" si="1"/>
        <v>0</v>
      </c>
      <c r="J44" s="14">
        <v>1.07</v>
      </c>
      <c r="K44" s="15">
        <v>0</v>
      </c>
    </row>
    <row r="45" spans="1:12" s="14" customFormat="1" ht="15" hidden="1" x14ac:dyDescent="0.2">
      <c r="A45" s="36" t="s">
        <v>52</v>
      </c>
      <c r="B45" s="37" t="s">
        <v>53</v>
      </c>
      <c r="C45" s="26"/>
      <c r="D45" s="38">
        <f t="shared" ca="1" si="2"/>
        <v>49234.559999999998</v>
      </c>
      <c r="E45" s="26">
        <f t="shared" ca="1" si="3"/>
        <v>19.2</v>
      </c>
      <c r="F45" s="48"/>
      <c r="G45" s="26">
        <f t="shared" ca="1" si="4"/>
        <v>19.2</v>
      </c>
      <c r="H45" s="26">
        <f t="shared" ca="1" si="1"/>
        <v>0</v>
      </c>
      <c r="J45" s="14">
        <v>1.07</v>
      </c>
      <c r="K45" s="15">
        <v>0</v>
      </c>
    </row>
    <row r="46" spans="1:12" s="14" customFormat="1" ht="15" hidden="1" x14ac:dyDescent="0.2">
      <c r="A46" s="36" t="s">
        <v>54</v>
      </c>
      <c r="B46" s="37" t="s">
        <v>44</v>
      </c>
      <c r="C46" s="26"/>
      <c r="D46" s="38">
        <f t="shared" ca="1" si="2"/>
        <v>49234.559999999998</v>
      </c>
      <c r="E46" s="26">
        <f t="shared" ca="1" si="3"/>
        <v>19.2</v>
      </c>
      <c r="F46" s="48"/>
      <c r="G46" s="26">
        <f t="shared" ca="1" si="4"/>
        <v>19.2</v>
      </c>
      <c r="H46" s="26">
        <f t="shared" ca="1" si="1"/>
        <v>0</v>
      </c>
      <c r="J46" s="14">
        <v>1.07</v>
      </c>
      <c r="K46" s="15">
        <v>0</v>
      </c>
    </row>
    <row r="47" spans="1:12" s="14" customFormat="1" ht="28.5" x14ac:dyDescent="0.2">
      <c r="A47" s="46" t="s">
        <v>55</v>
      </c>
      <c r="B47" s="49" t="s">
        <v>56</v>
      </c>
      <c r="C47" s="26">
        <f>F47*12</f>
        <v>0</v>
      </c>
      <c r="D47" s="38">
        <f t="shared" si="2"/>
        <v>116008.93</v>
      </c>
      <c r="E47" s="26">
        <f t="shared" si="3"/>
        <v>45.24</v>
      </c>
      <c r="F47" s="48"/>
      <c r="G47" s="26">
        <f t="shared" si="4"/>
        <v>45.24</v>
      </c>
      <c r="H47" s="26">
        <v>3.77</v>
      </c>
      <c r="I47" s="14">
        <v>2564.3000000000002</v>
      </c>
      <c r="J47" s="14">
        <v>1.07</v>
      </c>
      <c r="K47" s="15">
        <v>2.99</v>
      </c>
    </row>
    <row r="48" spans="1:12" s="22" customFormat="1" ht="30" x14ac:dyDescent="0.2">
      <c r="A48" s="46" t="s">
        <v>57</v>
      </c>
      <c r="B48" s="25" t="s">
        <v>13</v>
      </c>
      <c r="C48" s="50"/>
      <c r="D48" s="38">
        <f>2042.21*I48/L48</f>
        <v>1719.59</v>
      </c>
      <c r="E48" s="50"/>
      <c r="F48" s="48"/>
      <c r="G48" s="26">
        <f t="shared" ref="G48:G53" si="5">D48/I48</f>
        <v>0.67</v>
      </c>
      <c r="H48" s="26">
        <f t="shared" si="1"/>
        <v>0.06</v>
      </c>
      <c r="I48" s="14">
        <v>2564.3000000000002</v>
      </c>
      <c r="J48" s="14">
        <v>1.07</v>
      </c>
      <c r="K48" s="15">
        <v>0.04</v>
      </c>
      <c r="L48" s="22">
        <v>3045.4</v>
      </c>
    </row>
    <row r="49" spans="1:14" s="22" customFormat="1" ht="30.75" customHeight="1" x14ac:dyDescent="0.2">
      <c r="A49" s="46" t="s">
        <v>58</v>
      </c>
      <c r="B49" s="25" t="s">
        <v>13</v>
      </c>
      <c r="C49" s="50"/>
      <c r="D49" s="38">
        <f>2042.21*I49/L49</f>
        <v>1719.59</v>
      </c>
      <c r="E49" s="50"/>
      <c r="F49" s="48"/>
      <c r="G49" s="26">
        <f t="shared" si="5"/>
        <v>0.67</v>
      </c>
      <c r="H49" s="26">
        <f t="shared" si="1"/>
        <v>0.06</v>
      </c>
      <c r="I49" s="14">
        <v>2564.3000000000002</v>
      </c>
      <c r="J49" s="14">
        <v>1.07</v>
      </c>
      <c r="K49" s="15">
        <v>0.04</v>
      </c>
      <c r="L49" s="22">
        <v>3045.4</v>
      </c>
    </row>
    <row r="50" spans="1:14" s="22" customFormat="1" ht="18.75" customHeight="1" x14ac:dyDescent="0.2">
      <c r="A50" s="46" t="s">
        <v>59</v>
      </c>
      <c r="B50" s="25" t="s">
        <v>13</v>
      </c>
      <c r="C50" s="50"/>
      <c r="D50" s="38">
        <f>12896.1*I50/L50</f>
        <v>10858.83</v>
      </c>
      <c r="E50" s="50"/>
      <c r="F50" s="48"/>
      <c r="G50" s="26">
        <f t="shared" si="5"/>
        <v>4.2300000000000004</v>
      </c>
      <c r="H50" s="26">
        <f t="shared" si="1"/>
        <v>0.35</v>
      </c>
      <c r="I50" s="14">
        <v>2564.3000000000002</v>
      </c>
      <c r="J50" s="14">
        <v>1.07</v>
      </c>
      <c r="K50" s="15">
        <v>0.28000000000000003</v>
      </c>
      <c r="L50" s="22">
        <v>3045.4</v>
      </c>
    </row>
    <row r="51" spans="1:14" s="22" customFormat="1" ht="30" hidden="1" x14ac:dyDescent="0.2">
      <c r="A51" s="46" t="s">
        <v>60</v>
      </c>
      <c r="B51" s="25" t="s">
        <v>28</v>
      </c>
      <c r="C51" s="50"/>
      <c r="D51" s="38">
        <f ca="1">G51*I51</f>
        <v>0</v>
      </c>
      <c r="E51" s="50"/>
      <c r="F51" s="48"/>
      <c r="G51" s="26">
        <f t="shared" ca="1" si="5"/>
        <v>3.59</v>
      </c>
      <c r="H51" s="26">
        <f t="shared" ca="1" si="1"/>
        <v>0.3</v>
      </c>
      <c r="I51" s="14">
        <v>2564.3000000000002</v>
      </c>
      <c r="J51" s="14">
        <v>1.07</v>
      </c>
      <c r="K51" s="15">
        <v>0</v>
      </c>
    </row>
    <row r="52" spans="1:14" s="22" customFormat="1" ht="30" hidden="1" x14ac:dyDescent="0.2">
      <c r="A52" s="46" t="s">
        <v>61</v>
      </c>
      <c r="B52" s="25" t="s">
        <v>28</v>
      </c>
      <c r="C52" s="50"/>
      <c r="D52" s="38">
        <f ca="1">G52*I52</f>
        <v>0</v>
      </c>
      <c r="E52" s="50"/>
      <c r="F52" s="48"/>
      <c r="G52" s="26">
        <f t="shared" ca="1" si="5"/>
        <v>3.59</v>
      </c>
      <c r="H52" s="26">
        <f t="shared" ca="1" si="1"/>
        <v>0.3</v>
      </c>
      <c r="I52" s="14">
        <v>2564.3000000000002</v>
      </c>
      <c r="J52" s="14">
        <v>1.07</v>
      </c>
      <c r="K52" s="15">
        <v>0</v>
      </c>
    </row>
    <row r="53" spans="1:14" s="22" customFormat="1" ht="30" hidden="1" x14ac:dyDescent="0.2">
      <c r="A53" s="46" t="s">
        <v>62</v>
      </c>
      <c r="B53" s="25" t="s">
        <v>28</v>
      </c>
      <c r="C53" s="50"/>
      <c r="D53" s="38">
        <f ca="1">G53*I53</f>
        <v>0</v>
      </c>
      <c r="E53" s="50"/>
      <c r="F53" s="48"/>
      <c r="G53" s="26">
        <f t="shared" ca="1" si="5"/>
        <v>3.59</v>
      </c>
      <c r="H53" s="26">
        <f t="shared" ca="1" si="1"/>
        <v>0.3</v>
      </c>
      <c r="I53" s="14">
        <v>2564.3000000000002</v>
      </c>
      <c r="J53" s="14">
        <v>1.07</v>
      </c>
      <c r="K53" s="15">
        <v>0</v>
      </c>
    </row>
    <row r="54" spans="1:14" s="22" customFormat="1" ht="30" x14ac:dyDescent="0.2">
      <c r="A54" s="46" t="s">
        <v>63</v>
      </c>
      <c r="B54" s="25"/>
      <c r="C54" s="50">
        <f>F54*12</f>
        <v>0</v>
      </c>
      <c r="D54" s="38">
        <f>G54*I54</f>
        <v>6462.04</v>
      </c>
      <c r="E54" s="50">
        <f>H54*12</f>
        <v>2.52</v>
      </c>
      <c r="F54" s="48"/>
      <c r="G54" s="26">
        <f>H54*12</f>
        <v>2.52</v>
      </c>
      <c r="H54" s="26">
        <v>0.21</v>
      </c>
      <c r="I54" s="14">
        <v>2564.3000000000002</v>
      </c>
      <c r="J54" s="14">
        <v>1.07</v>
      </c>
      <c r="K54" s="15">
        <v>0.14000000000000001</v>
      </c>
    </row>
    <row r="55" spans="1:14" s="14" customFormat="1" ht="15" x14ac:dyDescent="0.2">
      <c r="A55" s="46" t="s">
        <v>64</v>
      </c>
      <c r="B55" s="25" t="s">
        <v>65</v>
      </c>
      <c r="C55" s="50">
        <f>F55*12</f>
        <v>0</v>
      </c>
      <c r="D55" s="38">
        <f>G55*I55</f>
        <v>1846.3</v>
      </c>
      <c r="E55" s="50">
        <f>H55*12</f>
        <v>0.72</v>
      </c>
      <c r="F55" s="48"/>
      <c r="G55" s="26">
        <f>H55*12</f>
        <v>0.72</v>
      </c>
      <c r="H55" s="26">
        <v>0.06</v>
      </c>
      <c r="I55" s="14">
        <v>2564.3000000000002</v>
      </c>
      <c r="J55" s="14">
        <v>1.07</v>
      </c>
      <c r="K55" s="15">
        <v>0.03</v>
      </c>
      <c r="L55" s="14">
        <v>3045.4</v>
      </c>
    </row>
    <row r="56" spans="1:14" s="14" customFormat="1" ht="15" x14ac:dyDescent="0.2">
      <c r="A56" s="46" t="s">
        <v>66</v>
      </c>
      <c r="B56" s="51" t="s">
        <v>67</v>
      </c>
      <c r="C56" s="52">
        <f>F56*12</f>
        <v>0</v>
      </c>
      <c r="D56" s="38">
        <f t="shared" ref="D56:D57" si="6">G56*I56</f>
        <v>1230.8599999999999</v>
      </c>
      <c r="E56" s="50">
        <f t="shared" ref="E56:E57" si="7">H56*12</f>
        <v>0.48</v>
      </c>
      <c r="F56" s="48"/>
      <c r="G56" s="26">
        <f t="shared" ref="G56:G57" si="8">H56*12</f>
        <v>0.48</v>
      </c>
      <c r="H56" s="26">
        <v>0.04</v>
      </c>
      <c r="I56" s="14">
        <v>2564.3000000000002</v>
      </c>
      <c r="J56" s="14">
        <v>1.07</v>
      </c>
      <c r="K56" s="15">
        <v>0.02</v>
      </c>
      <c r="L56" s="14">
        <v>3045.4</v>
      </c>
    </row>
    <row r="57" spans="1:14" s="47" customFormat="1" ht="30" x14ac:dyDescent="0.2">
      <c r="A57" s="46" t="s">
        <v>68</v>
      </c>
      <c r="B57" s="25" t="s">
        <v>69</v>
      </c>
      <c r="C57" s="50">
        <f>F57*12</f>
        <v>0</v>
      </c>
      <c r="D57" s="38">
        <f t="shared" si="6"/>
        <v>1538.58</v>
      </c>
      <c r="E57" s="50">
        <f t="shared" si="7"/>
        <v>0.6</v>
      </c>
      <c r="F57" s="48"/>
      <c r="G57" s="26">
        <f t="shared" si="8"/>
        <v>0.6</v>
      </c>
      <c r="H57" s="26">
        <v>0.05</v>
      </c>
      <c r="I57" s="14">
        <v>2564.3000000000002</v>
      </c>
      <c r="J57" s="14">
        <v>1.07</v>
      </c>
      <c r="K57" s="15">
        <v>0.03</v>
      </c>
      <c r="L57" s="47">
        <v>3045.4</v>
      </c>
    </row>
    <row r="58" spans="1:14" s="47" customFormat="1" ht="15" x14ac:dyDescent="0.2">
      <c r="A58" s="46" t="s">
        <v>70</v>
      </c>
      <c r="B58" s="25"/>
      <c r="C58" s="26"/>
      <c r="D58" s="26">
        <f>D60+D61+D62+D63+D64+D65+D66+D67+D69+D68</f>
        <v>20459.03</v>
      </c>
      <c r="E58" s="26" t="e">
        <f>E60+E61+#REF!+E63+E64+E65+E66+E67+E68+E69+#REF!+#REF!</f>
        <v>#REF!</v>
      </c>
      <c r="F58" s="26" t="e">
        <f>F60+F61+#REF!+F63+F64+F65+F66+F67+F68+F69+#REF!+#REF!</f>
        <v>#REF!</v>
      </c>
      <c r="G58" s="26">
        <f>D58/I58</f>
        <v>7.98</v>
      </c>
      <c r="H58" s="26">
        <f>G58/12</f>
        <v>0.67</v>
      </c>
      <c r="I58" s="14">
        <v>2564.3000000000002</v>
      </c>
      <c r="J58" s="14">
        <v>1.07</v>
      </c>
      <c r="K58" s="15">
        <v>0.71</v>
      </c>
    </row>
    <row r="59" spans="1:14" s="22" customFormat="1" ht="15" hidden="1" x14ac:dyDescent="0.2">
      <c r="A59" s="53"/>
      <c r="B59" s="37"/>
      <c r="C59" s="54"/>
      <c r="D59" s="55"/>
      <c r="E59" s="54"/>
      <c r="F59" s="56"/>
      <c r="G59" s="54"/>
      <c r="H59" s="54"/>
      <c r="I59" s="14"/>
      <c r="J59" s="14"/>
      <c r="K59" s="15"/>
      <c r="M59" s="47"/>
      <c r="N59" s="47"/>
    </row>
    <row r="60" spans="1:14" s="22" customFormat="1" ht="15" x14ac:dyDescent="0.2">
      <c r="A60" s="53" t="s">
        <v>71</v>
      </c>
      <c r="B60" s="37" t="s">
        <v>51</v>
      </c>
      <c r="C60" s="54"/>
      <c r="D60" s="55">
        <f>325.83*I60/L60</f>
        <v>274.36</v>
      </c>
      <c r="E60" s="54"/>
      <c r="F60" s="56"/>
      <c r="G60" s="54"/>
      <c r="H60" s="54"/>
      <c r="I60" s="14">
        <v>2564.3000000000002</v>
      </c>
      <c r="J60" s="14">
        <v>1.07</v>
      </c>
      <c r="K60" s="15">
        <v>0.01</v>
      </c>
      <c r="L60" s="22">
        <v>3045.4</v>
      </c>
      <c r="M60" s="47"/>
      <c r="N60" s="47"/>
    </row>
    <row r="61" spans="1:14" s="22" customFormat="1" ht="15" x14ac:dyDescent="0.2">
      <c r="A61" s="53" t="s">
        <v>72</v>
      </c>
      <c r="B61" s="37" t="s">
        <v>53</v>
      </c>
      <c r="C61" s="54">
        <f>F61*12</f>
        <v>0</v>
      </c>
      <c r="D61" s="55">
        <f>918.96*I61/L61</f>
        <v>773.79</v>
      </c>
      <c r="E61" s="54">
        <f>H61*12</f>
        <v>0</v>
      </c>
      <c r="F61" s="56"/>
      <c r="G61" s="54"/>
      <c r="H61" s="54"/>
      <c r="I61" s="14">
        <v>2564.3000000000002</v>
      </c>
      <c r="J61" s="14">
        <v>1.07</v>
      </c>
      <c r="K61" s="15">
        <v>0.01</v>
      </c>
      <c r="L61" s="22">
        <v>3045.4</v>
      </c>
      <c r="M61" s="47"/>
      <c r="N61" s="47"/>
    </row>
    <row r="62" spans="1:14" s="22" customFormat="1" ht="15" x14ac:dyDescent="0.2">
      <c r="A62" s="53" t="s">
        <v>132</v>
      </c>
      <c r="B62" s="60" t="s">
        <v>51</v>
      </c>
      <c r="C62" s="54"/>
      <c r="D62" s="55">
        <f>1637.48*I62/L62</f>
        <v>1378.8</v>
      </c>
      <c r="E62" s="54"/>
      <c r="F62" s="56"/>
      <c r="G62" s="54"/>
      <c r="H62" s="54"/>
      <c r="I62" s="14">
        <v>2564.3000000000002</v>
      </c>
      <c r="J62" s="14"/>
      <c r="K62" s="15"/>
      <c r="L62" s="22">
        <v>3045.4</v>
      </c>
      <c r="M62" s="47"/>
      <c r="N62" s="47"/>
    </row>
    <row r="63" spans="1:14" s="22" customFormat="1" ht="15" x14ac:dyDescent="0.2">
      <c r="A63" s="53" t="s">
        <v>73</v>
      </c>
      <c r="B63" s="37" t="s">
        <v>51</v>
      </c>
      <c r="C63" s="54">
        <f>F63*12</f>
        <v>0</v>
      </c>
      <c r="D63" s="55">
        <f>1751.22*I63/L63</f>
        <v>1474.57</v>
      </c>
      <c r="E63" s="54">
        <f>H63*12</f>
        <v>0</v>
      </c>
      <c r="F63" s="56"/>
      <c r="G63" s="54"/>
      <c r="H63" s="54"/>
      <c r="I63" s="14">
        <v>2564.3000000000002</v>
      </c>
      <c r="J63" s="14">
        <v>1.07</v>
      </c>
      <c r="K63" s="15">
        <v>0.02</v>
      </c>
      <c r="L63" s="22">
        <v>3045.4</v>
      </c>
      <c r="M63" s="47"/>
      <c r="N63" s="47"/>
    </row>
    <row r="64" spans="1:14" s="22" customFormat="1" ht="15" x14ac:dyDescent="0.2">
      <c r="A64" s="53" t="s">
        <v>74</v>
      </c>
      <c r="B64" s="37" t="s">
        <v>51</v>
      </c>
      <c r="C64" s="54">
        <f>F64*12</f>
        <v>0</v>
      </c>
      <c r="D64" s="55">
        <f>5855.59*I64/L64</f>
        <v>4930.55</v>
      </c>
      <c r="E64" s="54">
        <f>H64*12</f>
        <v>0</v>
      </c>
      <c r="F64" s="56"/>
      <c r="G64" s="54"/>
      <c r="H64" s="54"/>
      <c r="I64" s="14">
        <v>2564.3000000000002</v>
      </c>
      <c r="J64" s="14">
        <v>1.07</v>
      </c>
      <c r="K64" s="15">
        <v>0.1</v>
      </c>
      <c r="L64" s="22">
        <v>3045.4</v>
      </c>
      <c r="M64" s="47"/>
      <c r="N64" s="47"/>
    </row>
    <row r="65" spans="1:14" s="22" customFormat="1" ht="15" x14ac:dyDescent="0.2">
      <c r="A65" s="53" t="s">
        <v>133</v>
      </c>
      <c r="B65" s="37" t="s">
        <v>51</v>
      </c>
      <c r="C65" s="54">
        <f>F65*12</f>
        <v>0</v>
      </c>
      <c r="D65" s="55">
        <f>918.95*I65/L65</f>
        <v>773.78</v>
      </c>
      <c r="E65" s="54">
        <f>H65*12</f>
        <v>0</v>
      </c>
      <c r="F65" s="56"/>
      <c r="G65" s="54"/>
      <c r="H65" s="54"/>
      <c r="I65" s="14">
        <v>2564.3000000000002</v>
      </c>
      <c r="J65" s="14">
        <v>1.07</v>
      </c>
      <c r="K65" s="15">
        <v>0.02</v>
      </c>
      <c r="L65" s="22">
        <v>3045.4</v>
      </c>
      <c r="M65" s="47"/>
      <c r="N65" s="47"/>
    </row>
    <row r="66" spans="1:14" s="22" customFormat="1" ht="15" x14ac:dyDescent="0.2">
      <c r="A66" s="53" t="s">
        <v>75</v>
      </c>
      <c r="B66" s="37" t="s">
        <v>51</v>
      </c>
      <c r="C66" s="54"/>
      <c r="D66" s="55">
        <f>437.79*I66/L66</f>
        <v>368.63</v>
      </c>
      <c r="E66" s="54"/>
      <c r="F66" s="56"/>
      <c r="G66" s="54"/>
      <c r="H66" s="54"/>
      <c r="I66" s="14">
        <v>2564.3000000000002</v>
      </c>
      <c r="J66" s="14">
        <v>1.07</v>
      </c>
      <c r="K66" s="15">
        <v>0.01</v>
      </c>
      <c r="L66" s="22">
        <v>3045.4</v>
      </c>
      <c r="M66" s="47"/>
      <c r="N66" s="47"/>
    </row>
    <row r="67" spans="1:14" s="22" customFormat="1" ht="15" x14ac:dyDescent="0.2">
      <c r="A67" s="53" t="s">
        <v>76</v>
      </c>
      <c r="B67" s="37" t="s">
        <v>53</v>
      </c>
      <c r="C67" s="54"/>
      <c r="D67" s="107">
        <f>3502.46*I67/L67</f>
        <v>2949.16</v>
      </c>
      <c r="E67" s="54"/>
      <c r="F67" s="56"/>
      <c r="G67" s="54"/>
      <c r="H67" s="54"/>
      <c r="I67" s="14">
        <v>2564.3000000000002</v>
      </c>
      <c r="J67" s="14">
        <v>1.07</v>
      </c>
      <c r="K67" s="15">
        <v>0.04</v>
      </c>
      <c r="L67" s="22">
        <v>3045.4</v>
      </c>
      <c r="M67" s="47"/>
      <c r="N67" s="47"/>
    </row>
    <row r="68" spans="1:14" s="22" customFormat="1" ht="25.5" x14ac:dyDescent="0.2">
      <c r="A68" s="53" t="s">
        <v>77</v>
      </c>
      <c r="B68" s="37" t="s">
        <v>51</v>
      </c>
      <c r="C68" s="54">
        <f>F68*12</f>
        <v>0</v>
      </c>
      <c r="D68" s="55">
        <f>2891.57*I68/L68</f>
        <v>2434.77</v>
      </c>
      <c r="E68" s="54">
        <f>H68*12</f>
        <v>0</v>
      </c>
      <c r="F68" s="56"/>
      <c r="G68" s="54"/>
      <c r="H68" s="54"/>
      <c r="I68" s="14">
        <v>2564.3000000000002</v>
      </c>
      <c r="J68" s="14">
        <v>1.07</v>
      </c>
      <c r="K68" s="15">
        <v>0.06</v>
      </c>
      <c r="L68" s="22">
        <v>3045.4</v>
      </c>
      <c r="M68" s="47"/>
      <c r="N68" s="47"/>
    </row>
    <row r="69" spans="1:14" s="22" customFormat="1" ht="15" x14ac:dyDescent="0.2">
      <c r="A69" s="53" t="s">
        <v>78</v>
      </c>
      <c r="B69" s="37" t="s">
        <v>51</v>
      </c>
      <c r="C69" s="54"/>
      <c r="D69" s="55">
        <f>6057.57*I69/L69</f>
        <v>5100.62</v>
      </c>
      <c r="E69" s="54"/>
      <c r="F69" s="56"/>
      <c r="G69" s="54"/>
      <c r="H69" s="54"/>
      <c r="I69" s="14">
        <v>2564.3000000000002</v>
      </c>
      <c r="J69" s="14">
        <v>1.07</v>
      </c>
      <c r="K69" s="15">
        <v>0.01</v>
      </c>
      <c r="L69" s="22">
        <v>3045.4</v>
      </c>
      <c r="M69" s="47"/>
      <c r="N69" s="47"/>
    </row>
    <row r="70" spans="1:14" s="22" customFormat="1" ht="15" hidden="1" x14ac:dyDescent="0.2">
      <c r="A70" s="53"/>
      <c r="B70" s="37"/>
      <c r="C70" s="59"/>
      <c r="D70" s="55"/>
      <c r="E70" s="59"/>
      <c r="F70" s="56"/>
      <c r="G70" s="54"/>
      <c r="H70" s="54"/>
      <c r="I70" s="14"/>
      <c r="J70" s="14"/>
      <c r="K70" s="15"/>
      <c r="M70" s="47"/>
      <c r="N70" s="47"/>
    </row>
    <row r="71" spans="1:14" s="22" customFormat="1" ht="15" hidden="1" x14ac:dyDescent="0.2">
      <c r="A71" s="53"/>
      <c r="B71" s="37"/>
      <c r="C71" s="54"/>
      <c r="D71" s="55"/>
      <c r="E71" s="54"/>
      <c r="F71" s="56"/>
      <c r="G71" s="54"/>
      <c r="H71" s="54"/>
      <c r="I71" s="14"/>
      <c r="J71" s="14"/>
      <c r="K71" s="15"/>
      <c r="M71" s="47"/>
      <c r="N71" s="47"/>
    </row>
    <row r="72" spans="1:14" s="47" customFormat="1" ht="30" x14ac:dyDescent="0.2">
      <c r="A72" s="46" t="s">
        <v>79</v>
      </c>
      <c r="B72" s="25"/>
      <c r="C72" s="26"/>
      <c r="D72" s="26">
        <f>D74+D75+D80</f>
        <v>23608.86</v>
      </c>
      <c r="E72" s="26" t="e">
        <f>#REF!+#REF!+E75+#REF!+#REF!+#REF!+E80</f>
        <v>#REF!</v>
      </c>
      <c r="F72" s="26" t="e">
        <f>#REF!+#REF!+F75+#REF!+#REF!+#REF!+F80</f>
        <v>#REF!</v>
      </c>
      <c r="G72" s="26">
        <f>D72/I72</f>
        <v>9.2100000000000009</v>
      </c>
      <c r="H72" s="26">
        <f>G72/12</f>
        <v>0.77</v>
      </c>
      <c r="I72" s="14">
        <v>2564.3000000000002</v>
      </c>
      <c r="J72" s="14">
        <v>1.07</v>
      </c>
      <c r="K72" s="15">
        <v>0.85</v>
      </c>
    </row>
    <row r="73" spans="1:14" s="22" customFormat="1" ht="25.5" hidden="1" x14ac:dyDescent="0.2">
      <c r="A73" s="53" t="s">
        <v>80</v>
      </c>
      <c r="B73" s="60" t="s">
        <v>51</v>
      </c>
      <c r="C73" s="54"/>
      <c r="D73" s="55"/>
      <c r="E73" s="54"/>
      <c r="F73" s="56"/>
      <c r="G73" s="54"/>
      <c r="H73" s="54"/>
      <c r="I73" s="14">
        <v>3045.4</v>
      </c>
      <c r="J73" s="14">
        <v>1.07</v>
      </c>
      <c r="K73" s="15">
        <v>0.04</v>
      </c>
      <c r="M73" s="47"/>
      <c r="N73" s="47"/>
    </row>
    <row r="74" spans="1:14" s="22" customFormat="1" ht="15" x14ac:dyDescent="0.2">
      <c r="A74" s="53" t="s">
        <v>157</v>
      </c>
      <c r="B74" s="60" t="s">
        <v>53</v>
      </c>
      <c r="C74" s="54"/>
      <c r="D74" s="55">
        <f>(9865*2)*I74/L74</f>
        <v>16613.13</v>
      </c>
      <c r="E74" s="54"/>
      <c r="F74" s="56"/>
      <c r="G74" s="54"/>
      <c r="H74" s="54"/>
      <c r="I74" s="14">
        <v>2564.3000000000002</v>
      </c>
      <c r="J74" s="14"/>
      <c r="K74" s="15"/>
      <c r="L74" s="22">
        <v>3045.4</v>
      </c>
      <c r="M74" s="47"/>
      <c r="N74" s="47"/>
    </row>
    <row r="75" spans="1:14" s="22" customFormat="1" ht="25.5" x14ac:dyDescent="0.2">
      <c r="A75" s="53" t="s">
        <v>81</v>
      </c>
      <c r="B75" s="37" t="s">
        <v>82</v>
      </c>
      <c r="C75" s="54"/>
      <c r="D75" s="55">
        <v>1751.2</v>
      </c>
      <c r="E75" s="54"/>
      <c r="F75" s="56"/>
      <c r="G75" s="54"/>
      <c r="H75" s="54"/>
      <c r="I75" s="14">
        <v>2564.3000000000002</v>
      </c>
      <c r="J75" s="14">
        <v>1.07</v>
      </c>
      <c r="K75" s="15">
        <v>0.04</v>
      </c>
      <c r="M75" s="47"/>
      <c r="N75" s="47"/>
    </row>
    <row r="76" spans="1:14" s="22" customFormat="1" ht="15" hidden="1" x14ac:dyDescent="0.2">
      <c r="A76" s="53" t="s">
        <v>83</v>
      </c>
      <c r="B76" s="37" t="s">
        <v>84</v>
      </c>
      <c r="C76" s="54"/>
      <c r="D76" s="55"/>
      <c r="E76" s="54"/>
      <c r="F76" s="56"/>
      <c r="G76" s="54"/>
      <c r="H76" s="54"/>
      <c r="I76" s="14">
        <v>2564.3000000000002</v>
      </c>
      <c r="J76" s="14">
        <v>1.07</v>
      </c>
      <c r="K76" s="15">
        <v>0</v>
      </c>
      <c r="M76" s="47"/>
      <c r="N76" s="47"/>
    </row>
    <row r="77" spans="1:14" s="22" customFormat="1" ht="15" hidden="1" x14ac:dyDescent="0.2">
      <c r="A77" s="53" t="s">
        <v>85</v>
      </c>
      <c r="B77" s="37" t="s">
        <v>51</v>
      </c>
      <c r="C77" s="54"/>
      <c r="D77" s="55"/>
      <c r="E77" s="54"/>
      <c r="F77" s="56"/>
      <c r="G77" s="54"/>
      <c r="H77" s="54"/>
      <c r="I77" s="14">
        <v>2564.3000000000002</v>
      </c>
      <c r="J77" s="14">
        <v>1.07</v>
      </c>
      <c r="K77" s="15">
        <v>0</v>
      </c>
      <c r="M77" s="47"/>
      <c r="N77" s="47"/>
    </row>
    <row r="78" spans="1:14" s="22" customFormat="1" ht="25.5" hidden="1" x14ac:dyDescent="0.2">
      <c r="A78" s="53" t="s">
        <v>86</v>
      </c>
      <c r="B78" s="37" t="s">
        <v>51</v>
      </c>
      <c r="C78" s="54"/>
      <c r="D78" s="55"/>
      <c r="E78" s="54"/>
      <c r="F78" s="56"/>
      <c r="G78" s="54"/>
      <c r="H78" s="54"/>
      <c r="I78" s="14">
        <v>2564.3000000000002</v>
      </c>
      <c r="J78" s="14">
        <v>1.07</v>
      </c>
      <c r="K78" s="15">
        <v>0</v>
      </c>
      <c r="M78" s="47"/>
      <c r="N78" s="47"/>
    </row>
    <row r="79" spans="1:14" s="22" customFormat="1" ht="25.5" hidden="1" x14ac:dyDescent="0.2">
      <c r="A79" s="53" t="s">
        <v>87</v>
      </c>
      <c r="B79" s="37" t="s">
        <v>28</v>
      </c>
      <c r="C79" s="54"/>
      <c r="D79" s="55">
        <f>G79*I79</f>
        <v>0</v>
      </c>
      <c r="E79" s="54"/>
      <c r="F79" s="56"/>
      <c r="G79" s="54"/>
      <c r="H79" s="54"/>
      <c r="I79" s="14">
        <v>3045.4</v>
      </c>
      <c r="J79" s="14">
        <v>1.07</v>
      </c>
      <c r="K79" s="15">
        <v>0.27</v>
      </c>
      <c r="M79" s="47"/>
      <c r="N79" s="47"/>
    </row>
    <row r="80" spans="1:14" s="22" customFormat="1" ht="15" x14ac:dyDescent="0.2">
      <c r="A80" s="53" t="s">
        <v>88</v>
      </c>
      <c r="B80" s="37" t="s">
        <v>13</v>
      </c>
      <c r="C80" s="59"/>
      <c r="D80" s="55">
        <f>6228.48*I80/L80</f>
        <v>5244.53</v>
      </c>
      <c r="E80" s="59"/>
      <c r="F80" s="56"/>
      <c r="G80" s="54"/>
      <c r="H80" s="54"/>
      <c r="I80" s="14">
        <v>2564.3000000000002</v>
      </c>
      <c r="J80" s="14">
        <v>1.07</v>
      </c>
      <c r="K80" s="15">
        <v>0.14000000000000001</v>
      </c>
      <c r="L80" s="22">
        <v>3045.4</v>
      </c>
      <c r="M80" s="47"/>
      <c r="N80" s="47"/>
    </row>
    <row r="81" spans="1:14" s="68" customFormat="1" ht="15" hidden="1" x14ac:dyDescent="0.2">
      <c r="A81" s="62" t="s">
        <v>89</v>
      </c>
      <c r="B81" s="63" t="s">
        <v>51</v>
      </c>
      <c r="C81" s="64"/>
      <c r="D81" s="65">
        <f>G81*I81</f>
        <v>0</v>
      </c>
      <c r="E81" s="64"/>
      <c r="F81" s="66"/>
      <c r="G81" s="64">
        <f>H81*12</f>
        <v>0</v>
      </c>
      <c r="H81" s="64">
        <v>0</v>
      </c>
      <c r="I81" s="67">
        <v>3045.4</v>
      </c>
      <c r="J81" s="14">
        <v>1.07</v>
      </c>
      <c r="K81" s="15">
        <v>0</v>
      </c>
      <c r="M81" s="47"/>
      <c r="N81" s="47"/>
    </row>
    <row r="82" spans="1:14" s="22" customFormat="1" ht="30" x14ac:dyDescent="0.2">
      <c r="A82" s="46" t="s">
        <v>90</v>
      </c>
      <c r="B82" s="37"/>
      <c r="C82" s="54"/>
      <c r="D82" s="26">
        <v>0</v>
      </c>
      <c r="E82" s="26" t="e">
        <f>#REF!+#REF!+#REF!</f>
        <v>#REF!</v>
      </c>
      <c r="F82" s="26" t="e">
        <f>#REF!+#REF!+#REF!</f>
        <v>#REF!</v>
      </c>
      <c r="G82" s="26">
        <f>D82/I82</f>
        <v>0</v>
      </c>
      <c r="H82" s="26">
        <f>G82/12</f>
        <v>0</v>
      </c>
      <c r="I82" s="14">
        <v>2564.3000000000002</v>
      </c>
      <c r="J82" s="14">
        <v>1.07</v>
      </c>
      <c r="K82" s="15">
        <v>0.41</v>
      </c>
      <c r="M82" s="47"/>
      <c r="N82" s="47"/>
    </row>
    <row r="83" spans="1:14" s="22" customFormat="1" ht="15" x14ac:dyDescent="0.2">
      <c r="A83" s="46" t="s">
        <v>92</v>
      </c>
      <c r="B83" s="37"/>
      <c r="C83" s="54"/>
      <c r="D83" s="26">
        <f>D85+D86+D92+D93</f>
        <v>33060.5</v>
      </c>
      <c r="E83" s="26">
        <f>E85+E86</f>
        <v>0</v>
      </c>
      <c r="F83" s="26">
        <f>F85+F86</f>
        <v>0</v>
      </c>
      <c r="G83" s="26">
        <f>D83/I83</f>
        <v>12.89</v>
      </c>
      <c r="H83" s="26">
        <f>G83/12</f>
        <v>1.07</v>
      </c>
      <c r="I83" s="14">
        <v>2564.3000000000002</v>
      </c>
      <c r="J83" s="14">
        <v>1.07</v>
      </c>
      <c r="K83" s="15">
        <v>0.18</v>
      </c>
      <c r="M83" s="47"/>
      <c r="N83" s="47"/>
    </row>
    <row r="84" spans="1:14" s="22" customFormat="1" ht="15" hidden="1" x14ac:dyDescent="0.2">
      <c r="A84" s="53" t="s">
        <v>93</v>
      </c>
      <c r="B84" s="37" t="s">
        <v>13</v>
      </c>
      <c r="C84" s="54"/>
      <c r="D84" s="55">
        <f t="shared" ref="D84:D91" si="9">G84*I84</f>
        <v>0</v>
      </c>
      <c r="E84" s="54"/>
      <c r="F84" s="56"/>
      <c r="G84" s="54">
        <f t="shared" ref="G84:G91" si="10">H84*12</f>
        <v>0</v>
      </c>
      <c r="H84" s="54">
        <v>0</v>
      </c>
      <c r="I84" s="14">
        <v>2564.3000000000002</v>
      </c>
      <c r="J84" s="14">
        <v>1.07</v>
      </c>
      <c r="K84" s="15">
        <v>0</v>
      </c>
      <c r="M84" s="47"/>
      <c r="N84" s="47"/>
    </row>
    <row r="85" spans="1:14" s="22" customFormat="1" ht="15" x14ac:dyDescent="0.2">
      <c r="A85" s="53" t="s">
        <v>94</v>
      </c>
      <c r="B85" s="37" t="s">
        <v>51</v>
      </c>
      <c r="C85" s="54"/>
      <c r="D85" s="55">
        <v>6305.2</v>
      </c>
      <c r="E85" s="54"/>
      <c r="F85" s="56"/>
      <c r="G85" s="54"/>
      <c r="H85" s="54"/>
      <c r="I85" s="14">
        <v>2564.3000000000002</v>
      </c>
      <c r="J85" s="14">
        <v>1.07</v>
      </c>
      <c r="K85" s="15">
        <v>0.16</v>
      </c>
      <c r="M85" s="47"/>
      <c r="N85" s="47"/>
    </row>
    <row r="86" spans="1:14" s="22" customFormat="1" ht="15" x14ac:dyDescent="0.2">
      <c r="A86" s="53" t="s">
        <v>95</v>
      </c>
      <c r="B86" s="37" t="s">
        <v>51</v>
      </c>
      <c r="C86" s="54"/>
      <c r="D86" s="55">
        <f>915.28*I86/L86</f>
        <v>770.69</v>
      </c>
      <c r="E86" s="54"/>
      <c r="F86" s="56"/>
      <c r="G86" s="54"/>
      <c r="H86" s="54"/>
      <c r="I86" s="14">
        <v>2564.3000000000002</v>
      </c>
      <c r="J86" s="14">
        <v>1.07</v>
      </c>
      <c r="K86" s="15">
        <v>0.02</v>
      </c>
      <c r="L86" s="22">
        <v>3045.4</v>
      </c>
      <c r="M86" s="47"/>
      <c r="N86" s="47"/>
    </row>
    <row r="87" spans="1:14" s="22" customFormat="1" ht="27.75" hidden="1" customHeight="1" x14ac:dyDescent="0.2">
      <c r="A87" s="53" t="s">
        <v>96</v>
      </c>
      <c r="B87" s="37" t="s">
        <v>28</v>
      </c>
      <c r="C87" s="54"/>
      <c r="D87" s="55">
        <f t="shared" si="9"/>
        <v>0</v>
      </c>
      <c r="E87" s="54"/>
      <c r="F87" s="56"/>
      <c r="G87" s="54">
        <f t="shared" si="10"/>
        <v>0</v>
      </c>
      <c r="H87" s="54">
        <v>0</v>
      </c>
      <c r="I87" s="14">
        <v>2564.3000000000002</v>
      </c>
      <c r="J87" s="14">
        <v>1.07</v>
      </c>
      <c r="K87" s="15">
        <v>0</v>
      </c>
      <c r="M87" s="47"/>
      <c r="N87" s="47"/>
    </row>
    <row r="88" spans="1:14" s="22" customFormat="1" ht="25.5" hidden="1" x14ac:dyDescent="0.2">
      <c r="A88" s="53" t="s">
        <v>97</v>
      </c>
      <c r="B88" s="37" t="s">
        <v>28</v>
      </c>
      <c r="C88" s="54"/>
      <c r="D88" s="55">
        <f t="shared" si="9"/>
        <v>0</v>
      </c>
      <c r="E88" s="54"/>
      <c r="F88" s="56"/>
      <c r="G88" s="54">
        <f t="shared" si="10"/>
        <v>0</v>
      </c>
      <c r="H88" s="54">
        <v>0</v>
      </c>
      <c r="I88" s="14">
        <v>2564.3000000000002</v>
      </c>
      <c r="J88" s="14">
        <v>1.07</v>
      </c>
      <c r="K88" s="15">
        <v>0</v>
      </c>
      <c r="M88" s="47"/>
      <c r="N88" s="47"/>
    </row>
    <row r="89" spans="1:14" s="22" customFormat="1" ht="25.5" hidden="1" x14ac:dyDescent="0.2">
      <c r="A89" s="53" t="s">
        <v>98</v>
      </c>
      <c r="B89" s="37" t="s">
        <v>28</v>
      </c>
      <c r="C89" s="54"/>
      <c r="D89" s="55">
        <f t="shared" si="9"/>
        <v>0</v>
      </c>
      <c r="E89" s="54"/>
      <c r="F89" s="56"/>
      <c r="G89" s="54">
        <f t="shared" si="10"/>
        <v>0</v>
      </c>
      <c r="H89" s="54">
        <v>0</v>
      </c>
      <c r="I89" s="14">
        <v>2564.3000000000002</v>
      </c>
      <c r="J89" s="14">
        <v>1.07</v>
      </c>
      <c r="K89" s="15">
        <v>0</v>
      </c>
      <c r="M89" s="47"/>
      <c r="N89" s="47"/>
    </row>
    <row r="90" spans="1:14" s="22" customFormat="1" ht="25.5" hidden="1" x14ac:dyDescent="0.2">
      <c r="A90" s="53" t="s">
        <v>99</v>
      </c>
      <c r="B90" s="37" t="s">
        <v>28</v>
      </c>
      <c r="C90" s="54"/>
      <c r="D90" s="55">
        <f t="shared" si="9"/>
        <v>0</v>
      </c>
      <c r="E90" s="54"/>
      <c r="F90" s="56"/>
      <c r="G90" s="54">
        <f t="shared" si="10"/>
        <v>0</v>
      </c>
      <c r="H90" s="54">
        <v>0</v>
      </c>
      <c r="I90" s="14">
        <v>2564.3000000000002</v>
      </c>
      <c r="J90" s="14">
        <v>1.07</v>
      </c>
      <c r="K90" s="15">
        <v>0</v>
      </c>
      <c r="M90" s="47"/>
      <c r="N90" s="47"/>
    </row>
    <row r="91" spans="1:14" s="22" customFormat="1" ht="25.5" hidden="1" x14ac:dyDescent="0.2">
      <c r="A91" s="53" t="s">
        <v>100</v>
      </c>
      <c r="B91" s="37" t="s">
        <v>28</v>
      </c>
      <c r="C91" s="54"/>
      <c r="D91" s="55">
        <f t="shared" si="9"/>
        <v>0</v>
      </c>
      <c r="E91" s="54"/>
      <c r="F91" s="56"/>
      <c r="G91" s="54">
        <f t="shared" si="10"/>
        <v>0</v>
      </c>
      <c r="H91" s="54">
        <v>0</v>
      </c>
      <c r="I91" s="14">
        <v>2564.3000000000002</v>
      </c>
      <c r="J91" s="14">
        <v>1.07</v>
      </c>
      <c r="K91" s="15">
        <v>0</v>
      </c>
      <c r="M91" s="47"/>
      <c r="N91" s="47"/>
    </row>
    <row r="92" spans="1:14" s="22" customFormat="1" ht="15" hidden="1" x14ac:dyDescent="0.2">
      <c r="A92" s="53" t="s">
        <v>101</v>
      </c>
      <c r="B92" s="41" t="s">
        <v>102</v>
      </c>
      <c r="C92" s="54"/>
      <c r="D92" s="108"/>
      <c r="E92" s="59"/>
      <c r="F92" s="108"/>
      <c r="G92" s="59"/>
      <c r="H92" s="59"/>
      <c r="I92" s="14"/>
      <c r="J92" s="14"/>
      <c r="K92" s="15"/>
      <c r="M92" s="47"/>
      <c r="N92" s="47"/>
    </row>
    <row r="93" spans="1:14" s="22" customFormat="1" ht="15" x14ac:dyDescent="0.2">
      <c r="A93" s="53" t="s">
        <v>101</v>
      </c>
      <c r="B93" s="41" t="s">
        <v>135</v>
      </c>
      <c r="C93" s="54"/>
      <c r="D93" s="108">
        <v>25984.61</v>
      </c>
      <c r="E93" s="59"/>
      <c r="F93" s="108"/>
      <c r="G93" s="59"/>
      <c r="H93" s="59"/>
      <c r="I93" s="14">
        <v>2564.3000000000002</v>
      </c>
      <c r="J93" s="14"/>
      <c r="K93" s="15"/>
      <c r="M93" s="47"/>
      <c r="N93" s="47"/>
    </row>
    <row r="94" spans="1:14" s="22" customFormat="1" ht="15" x14ac:dyDescent="0.2">
      <c r="A94" s="46" t="s">
        <v>103</v>
      </c>
      <c r="B94" s="37"/>
      <c r="C94" s="54"/>
      <c r="D94" s="26">
        <f>D95+D96</f>
        <v>924.68</v>
      </c>
      <c r="E94" s="26" t="e">
        <f>E95+#REF!+E96</f>
        <v>#REF!</v>
      </c>
      <c r="F94" s="26" t="e">
        <f>F95+#REF!+F96</f>
        <v>#REF!</v>
      </c>
      <c r="G94" s="26">
        <f>D94/I94</f>
        <v>0.36</v>
      </c>
      <c r="H94" s="26">
        <f>G94/12</f>
        <v>0.03</v>
      </c>
      <c r="I94" s="14">
        <v>2564.3000000000002</v>
      </c>
      <c r="J94" s="14">
        <v>1.07</v>
      </c>
      <c r="K94" s="15">
        <v>0.12</v>
      </c>
      <c r="M94" s="47"/>
      <c r="N94" s="47"/>
    </row>
    <row r="95" spans="1:14" s="22" customFormat="1" ht="15" x14ac:dyDescent="0.2">
      <c r="A95" s="53" t="s">
        <v>104</v>
      </c>
      <c r="B95" s="37" t="s">
        <v>51</v>
      </c>
      <c r="C95" s="54"/>
      <c r="D95" s="55">
        <f>1098.16*I95/L95</f>
        <v>924.68</v>
      </c>
      <c r="E95" s="54"/>
      <c r="F95" s="56"/>
      <c r="G95" s="54"/>
      <c r="H95" s="54"/>
      <c r="I95" s="14">
        <v>2564.3000000000002</v>
      </c>
      <c r="J95" s="14">
        <v>1.07</v>
      </c>
      <c r="K95" s="15">
        <v>0.02</v>
      </c>
      <c r="L95" s="22">
        <v>3045.4</v>
      </c>
      <c r="M95" s="47"/>
      <c r="N95" s="47"/>
    </row>
    <row r="96" spans="1:14" s="22" customFormat="1" ht="15" hidden="1" x14ac:dyDescent="0.2">
      <c r="A96" s="53" t="s">
        <v>105</v>
      </c>
      <c r="B96" s="37" t="s">
        <v>51</v>
      </c>
      <c r="C96" s="54"/>
      <c r="D96" s="55"/>
      <c r="E96" s="54"/>
      <c r="F96" s="56"/>
      <c r="G96" s="54"/>
      <c r="H96" s="54"/>
      <c r="I96" s="14">
        <v>3045.4</v>
      </c>
      <c r="J96" s="14">
        <v>1.07</v>
      </c>
      <c r="K96" s="15">
        <v>0.02</v>
      </c>
      <c r="M96" s="47"/>
      <c r="N96" s="47"/>
    </row>
    <row r="97" spans="1:14" s="14" customFormat="1" ht="15" x14ac:dyDescent="0.2">
      <c r="A97" s="46" t="s">
        <v>106</v>
      </c>
      <c r="B97" s="25"/>
      <c r="C97" s="26"/>
      <c r="D97" s="26">
        <f>D98+D99</f>
        <v>19092.560000000001</v>
      </c>
      <c r="E97" s="26">
        <f>E98+E99</f>
        <v>0</v>
      </c>
      <c r="F97" s="26">
        <f>F98+F99</f>
        <v>0</v>
      </c>
      <c r="G97" s="26">
        <f>D97/I97</f>
        <v>7.45</v>
      </c>
      <c r="H97" s="26">
        <f>G97/12</f>
        <v>0.62</v>
      </c>
      <c r="I97" s="14">
        <v>2564.3000000000002</v>
      </c>
      <c r="J97" s="14">
        <v>1.07</v>
      </c>
      <c r="K97" s="15">
        <v>0.64</v>
      </c>
      <c r="M97" s="47"/>
      <c r="N97" s="47"/>
    </row>
    <row r="98" spans="1:14" s="22" customFormat="1" ht="15" x14ac:dyDescent="0.2">
      <c r="A98" s="53" t="s">
        <v>107</v>
      </c>
      <c r="B98" s="41" t="s">
        <v>53</v>
      </c>
      <c r="C98" s="54"/>
      <c r="D98" s="55">
        <v>11048.16</v>
      </c>
      <c r="E98" s="54"/>
      <c r="F98" s="56"/>
      <c r="G98" s="54"/>
      <c r="H98" s="54"/>
      <c r="I98" s="14">
        <v>2564.3000000000002</v>
      </c>
      <c r="J98" s="14">
        <v>1.07</v>
      </c>
      <c r="K98" s="15">
        <v>0.04</v>
      </c>
      <c r="M98" s="47"/>
      <c r="N98" s="47"/>
    </row>
    <row r="99" spans="1:14" s="22" customFormat="1" ht="15" x14ac:dyDescent="0.2">
      <c r="A99" s="53" t="s">
        <v>134</v>
      </c>
      <c r="B99" s="60" t="s">
        <v>135</v>
      </c>
      <c r="C99" s="54">
        <f>F99*12</f>
        <v>0</v>
      </c>
      <c r="D99" s="55">
        <v>8044.4</v>
      </c>
      <c r="E99" s="54">
        <f>H99*12</f>
        <v>0</v>
      </c>
      <c r="F99" s="56"/>
      <c r="G99" s="54"/>
      <c r="H99" s="54"/>
      <c r="I99" s="14">
        <v>2564.3000000000002</v>
      </c>
      <c r="J99" s="14">
        <v>1.07</v>
      </c>
      <c r="K99" s="15">
        <v>0.6</v>
      </c>
      <c r="M99" s="47"/>
      <c r="N99" s="47"/>
    </row>
    <row r="100" spans="1:14" s="14" customFormat="1" ht="15" x14ac:dyDescent="0.2">
      <c r="A100" s="46" t="s">
        <v>108</v>
      </c>
      <c r="B100" s="25"/>
      <c r="C100" s="26"/>
      <c r="D100" s="26">
        <f>D101+D102</f>
        <v>2196.66</v>
      </c>
      <c r="E100" s="26">
        <f>E101+E102</f>
        <v>0</v>
      </c>
      <c r="F100" s="26">
        <f>F101+F102</f>
        <v>0</v>
      </c>
      <c r="G100" s="26">
        <f>D100/I100</f>
        <v>0.86</v>
      </c>
      <c r="H100" s="26">
        <f>G100/12</f>
        <v>7.0000000000000007E-2</v>
      </c>
      <c r="I100" s="14">
        <v>2564.3000000000002</v>
      </c>
      <c r="J100" s="14">
        <v>1.07</v>
      </c>
      <c r="K100" s="15">
        <v>0.05</v>
      </c>
      <c r="M100" s="47"/>
      <c r="N100" s="47"/>
    </row>
    <row r="101" spans="1:14" s="22" customFormat="1" ht="15" x14ac:dyDescent="0.2">
      <c r="A101" s="53" t="s">
        <v>142</v>
      </c>
      <c r="B101" s="37" t="s">
        <v>109</v>
      </c>
      <c r="C101" s="54"/>
      <c r="D101" s="107">
        <v>1220.3399999999999</v>
      </c>
      <c r="E101" s="109"/>
      <c r="F101" s="110"/>
      <c r="G101" s="109"/>
      <c r="H101" s="109"/>
      <c r="I101" s="14">
        <v>2564.3000000000002</v>
      </c>
      <c r="J101" s="14">
        <v>1.07</v>
      </c>
      <c r="K101" s="15">
        <v>0.03</v>
      </c>
      <c r="M101" s="47"/>
      <c r="N101" s="47"/>
    </row>
    <row r="102" spans="1:14" s="22" customFormat="1" ht="15" x14ac:dyDescent="0.2">
      <c r="A102" s="53" t="s">
        <v>110</v>
      </c>
      <c r="B102" s="37" t="s">
        <v>109</v>
      </c>
      <c r="C102" s="54"/>
      <c r="D102" s="55">
        <v>976.32</v>
      </c>
      <c r="E102" s="54"/>
      <c r="F102" s="56"/>
      <c r="G102" s="54"/>
      <c r="H102" s="54"/>
      <c r="I102" s="14">
        <v>2564.3000000000002</v>
      </c>
      <c r="J102" s="14">
        <v>1.07</v>
      </c>
      <c r="K102" s="15">
        <v>0.02</v>
      </c>
      <c r="M102" s="47"/>
      <c r="N102" s="47"/>
    </row>
    <row r="103" spans="1:14" s="22" customFormat="1" ht="25.5" hidden="1" customHeight="1" x14ac:dyDescent="0.2">
      <c r="A103" s="53" t="s">
        <v>111</v>
      </c>
      <c r="B103" s="37" t="s">
        <v>51</v>
      </c>
      <c r="C103" s="54"/>
      <c r="D103" s="55"/>
      <c r="E103" s="54"/>
      <c r="F103" s="56"/>
      <c r="G103" s="54"/>
      <c r="H103" s="54">
        <v>0</v>
      </c>
      <c r="I103" s="14">
        <v>2564.3000000000002</v>
      </c>
      <c r="J103" s="14">
        <v>1.07</v>
      </c>
      <c r="K103" s="15">
        <v>0</v>
      </c>
      <c r="M103" s="47"/>
      <c r="N103" s="47"/>
    </row>
    <row r="104" spans="1:14" s="14" customFormat="1" ht="29.25" hidden="1" customHeight="1" x14ac:dyDescent="0.2">
      <c r="A104" s="69" t="s">
        <v>112</v>
      </c>
      <c r="B104" s="60"/>
      <c r="C104" s="52"/>
      <c r="D104" s="52">
        <f>G104*I104</f>
        <v>0</v>
      </c>
      <c r="E104" s="52"/>
      <c r="F104" s="70"/>
      <c r="G104" s="52">
        <f>H104*12</f>
        <v>0</v>
      </c>
      <c r="H104" s="52">
        <v>0</v>
      </c>
      <c r="I104" s="14">
        <v>2564.3000000000002</v>
      </c>
      <c r="J104" s="15"/>
      <c r="M104" s="47"/>
      <c r="N104" s="47"/>
    </row>
    <row r="105" spans="1:14" s="14" customFormat="1" ht="38.25" thickBot="1" x14ac:dyDescent="0.25">
      <c r="A105" s="69" t="s">
        <v>158</v>
      </c>
      <c r="B105" s="25" t="s">
        <v>28</v>
      </c>
      <c r="C105" s="52">
        <f>F105*12</f>
        <v>0</v>
      </c>
      <c r="D105" s="52">
        <v>45849.69</v>
      </c>
      <c r="E105" s="52">
        <f>H105*12</f>
        <v>17.88</v>
      </c>
      <c r="F105" s="70"/>
      <c r="G105" s="52">
        <f>H105*12</f>
        <v>17.88</v>
      </c>
      <c r="H105" s="52">
        <f>1.38+0.11</f>
        <v>1.49</v>
      </c>
      <c r="I105" s="14">
        <v>2564.3000000000002</v>
      </c>
      <c r="J105" s="14">
        <v>1.07</v>
      </c>
      <c r="K105" s="15">
        <v>0.3</v>
      </c>
      <c r="M105" s="47"/>
      <c r="N105" s="47"/>
    </row>
    <row r="106" spans="1:14" s="14" customFormat="1" ht="19.5" hidden="1" thickBot="1" x14ac:dyDescent="0.25">
      <c r="A106" s="71" t="s">
        <v>113</v>
      </c>
      <c r="B106" s="25"/>
      <c r="C106" s="50" t="e">
        <f>F106*12</f>
        <v>#REF!</v>
      </c>
      <c r="D106" s="50">
        <f>SUM(D107:D113)</f>
        <v>0</v>
      </c>
      <c r="E106" s="50">
        <f>H106*12</f>
        <v>0</v>
      </c>
      <c r="F106" s="50" t="e">
        <f>#REF!+#REF!+#REF!+#REF!+#REF!+#REF!+#REF!+#REF!+#REF!+#REF!</f>
        <v>#REF!</v>
      </c>
      <c r="G106" s="50">
        <f>G107+G108+G109+G110+G111+G112+G113</f>
        <v>0</v>
      </c>
      <c r="H106" s="50">
        <f>SUM(H107:H113)</f>
        <v>0</v>
      </c>
      <c r="I106" s="14">
        <v>2564.3000000000002</v>
      </c>
      <c r="K106" s="15"/>
      <c r="N106" s="47"/>
    </row>
    <row r="107" spans="1:14" s="14" customFormat="1" ht="15.75" hidden="1" thickBot="1" x14ac:dyDescent="0.25">
      <c r="A107" s="72" t="s">
        <v>114</v>
      </c>
      <c r="B107" s="73"/>
      <c r="C107" s="74"/>
      <c r="D107" s="50"/>
      <c r="E107" s="50"/>
      <c r="F107" s="50"/>
      <c r="G107" s="50"/>
      <c r="H107" s="74"/>
      <c r="I107" s="14">
        <v>2564.3000000000002</v>
      </c>
      <c r="K107" s="15"/>
      <c r="N107" s="47"/>
    </row>
    <row r="108" spans="1:14" s="14" customFormat="1" ht="15.75" hidden="1" thickBot="1" x14ac:dyDescent="0.25">
      <c r="A108" s="72" t="s">
        <v>115</v>
      </c>
      <c r="B108" s="73"/>
      <c r="C108" s="74"/>
      <c r="D108" s="50"/>
      <c r="E108" s="50"/>
      <c r="F108" s="50"/>
      <c r="G108" s="50"/>
      <c r="H108" s="74"/>
      <c r="I108" s="14">
        <v>2564.3000000000002</v>
      </c>
      <c r="K108" s="15"/>
      <c r="N108" s="47"/>
    </row>
    <row r="109" spans="1:14" s="14" customFormat="1" ht="15.75" hidden="1" thickBot="1" x14ac:dyDescent="0.25">
      <c r="A109" s="72" t="s">
        <v>116</v>
      </c>
      <c r="B109" s="73"/>
      <c r="C109" s="74"/>
      <c r="D109" s="50"/>
      <c r="E109" s="50"/>
      <c r="F109" s="50"/>
      <c r="G109" s="50"/>
      <c r="H109" s="74"/>
      <c r="I109" s="14">
        <v>2564.3000000000002</v>
      </c>
      <c r="K109" s="15"/>
      <c r="N109" s="47"/>
    </row>
    <row r="110" spans="1:14" s="14" customFormat="1" ht="15.75" hidden="1" thickBot="1" x14ac:dyDescent="0.25">
      <c r="A110" s="72" t="s">
        <v>117</v>
      </c>
      <c r="B110" s="73"/>
      <c r="C110" s="74"/>
      <c r="D110" s="50"/>
      <c r="E110" s="50"/>
      <c r="F110" s="50"/>
      <c r="G110" s="50"/>
      <c r="H110" s="74"/>
      <c r="I110" s="14">
        <v>2564.3000000000002</v>
      </c>
      <c r="K110" s="15"/>
      <c r="N110" s="47"/>
    </row>
    <row r="111" spans="1:14" s="14" customFormat="1" ht="15.75" hidden="1" thickBot="1" x14ac:dyDescent="0.25">
      <c r="A111" s="72" t="s">
        <v>118</v>
      </c>
      <c r="B111" s="73"/>
      <c r="C111" s="74"/>
      <c r="D111" s="50"/>
      <c r="E111" s="50"/>
      <c r="F111" s="50"/>
      <c r="G111" s="50"/>
      <c r="H111" s="74"/>
      <c r="I111" s="14">
        <v>2564.3000000000002</v>
      </c>
      <c r="K111" s="15"/>
      <c r="N111" s="47"/>
    </row>
    <row r="112" spans="1:14" s="14" customFormat="1" ht="15.75" hidden="1" thickBot="1" x14ac:dyDescent="0.25">
      <c r="A112" s="72" t="s">
        <v>119</v>
      </c>
      <c r="B112" s="73"/>
      <c r="C112" s="74"/>
      <c r="D112" s="50"/>
      <c r="E112" s="50"/>
      <c r="F112" s="50"/>
      <c r="G112" s="50"/>
      <c r="H112" s="74"/>
      <c r="I112" s="14">
        <v>2564.3000000000002</v>
      </c>
      <c r="K112" s="15"/>
      <c r="N112" s="47"/>
    </row>
    <row r="113" spans="1:14" s="14" customFormat="1" ht="15.75" hidden="1" thickBot="1" x14ac:dyDescent="0.25">
      <c r="A113" s="75" t="s">
        <v>120</v>
      </c>
      <c r="B113" s="76"/>
      <c r="C113" s="77"/>
      <c r="D113" s="52"/>
      <c r="E113" s="52"/>
      <c r="F113" s="52"/>
      <c r="G113" s="52"/>
      <c r="H113" s="77"/>
      <c r="I113" s="14">
        <v>2564.3000000000002</v>
      </c>
      <c r="K113" s="15"/>
      <c r="N113" s="47"/>
    </row>
    <row r="114" spans="1:14" s="14" customFormat="1" ht="26.25" hidden="1" thickBot="1" x14ac:dyDescent="0.25">
      <c r="A114" s="78" t="s">
        <v>121</v>
      </c>
      <c r="B114" s="60" t="s">
        <v>122</v>
      </c>
      <c r="C114" s="79"/>
      <c r="D114" s="52"/>
      <c r="E114" s="52"/>
      <c r="F114" s="70"/>
      <c r="G114" s="52"/>
      <c r="H114" s="52"/>
      <c r="I114" s="14">
        <v>2564.3000000000002</v>
      </c>
      <c r="K114" s="15"/>
      <c r="N114" s="47"/>
    </row>
    <row r="115" spans="1:14" s="14" customFormat="1" ht="30.75" thickBot="1" x14ac:dyDescent="0.25">
      <c r="A115" s="78" t="s">
        <v>121</v>
      </c>
      <c r="B115" s="118" t="s">
        <v>159</v>
      </c>
      <c r="C115" s="119"/>
      <c r="D115" s="52">
        <v>12300</v>
      </c>
      <c r="E115" s="52"/>
      <c r="F115" s="117"/>
      <c r="G115" s="52">
        <f>D115/I115</f>
        <v>4.8</v>
      </c>
      <c r="H115" s="52">
        <f>G115/12</f>
        <v>0.4</v>
      </c>
      <c r="I115" s="14">
        <v>2564.3000000000002</v>
      </c>
      <c r="K115" s="15"/>
      <c r="N115" s="47"/>
    </row>
    <row r="116" spans="1:14" s="14" customFormat="1" ht="19.5" thickBot="1" x14ac:dyDescent="0.25">
      <c r="A116" s="80" t="s">
        <v>123</v>
      </c>
      <c r="B116" s="81" t="s">
        <v>22</v>
      </c>
      <c r="C116" s="79"/>
      <c r="D116" s="50">
        <f>G116*I116</f>
        <v>43309.51</v>
      </c>
      <c r="E116" s="50"/>
      <c r="F116" s="50"/>
      <c r="G116" s="50">
        <f>12*H116</f>
        <v>20.76</v>
      </c>
      <c r="H116" s="50">
        <v>1.73</v>
      </c>
      <c r="I116" s="14">
        <f>2564.3-478.1</f>
        <v>2086.1999999999998</v>
      </c>
      <c r="K116" s="15"/>
      <c r="N116" s="47"/>
    </row>
    <row r="117" spans="1:14" s="14" customFormat="1" ht="20.25" thickBot="1" x14ac:dyDescent="0.45">
      <c r="A117" s="82" t="s">
        <v>124</v>
      </c>
      <c r="B117" s="83"/>
      <c r="C117" s="84" t="e">
        <f>F117*12</f>
        <v>#REF!</v>
      </c>
      <c r="D117" s="85">
        <f>D115+D105+D100+D97+D94+D83+D82+D72+D58+D57+D56+D55+D54+D50+D49+D48+D47+D41+D40+D34+D33+D32+D23+D15+D116</f>
        <v>650511.77</v>
      </c>
      <c r="E117" s="85" t="e">
        <f>E115+E105+E100+E97+E94+E83+E82+E72+E58+E57+E56+E55+E54+E50+E49+E48+E47+E41+E40+E34+E33+E32+E23+E15+E116</f>
        <v>#REF!</v>
      </c>
      <c r="F117" s="85" t="e">
        <f>F115+F105+F100+F97+F94+F83+F82+F72+F58+F57+F56+F55+F54+F50+F49+F48+F47+F41+F40+F34+F33+F32+F23+F15+F116</f>
        <v>#REF!</v>
      </c>
      <c r="G117" s="85">
        <f>G115+G105+G100+G97+G94+G83+G82+G72+G58+G57+G56+G55+G54+G50+G49+G48+G47+G41+G40+G34+G33+G32+G23+G15+G116</f>
        <v>257.56</v>
      </c>
      <c r="H117" s="85">
        <f>H115+H105+H100+H97+H94+H83+H82+H72+H58+H57+H56+H55+H54+H50+H49+H48+H47+H41+H40+H34+H33+H32+H23+H15+H116</f>
        <v>21.47</v>
      </c>
      <c r="I117" s="14">
        <v>2564.3000000000002</v>
      </c>
      <c r="K117" s="15"/>
    </row>
    <row r="118" spans="1:14" s="90" customFormat="1" ht="20.25" hidden="1" thickBot="1" x14ac:dyDescent="0.25">
      <c r="A118" s="86" t="s">
        <v>125</v>
      </c>
      <c r="B118" s="87" t="s">
        <v>22</v>
      </c>
      <c r="C118" s="87" t="s">
        <v>126</v>
      </c>
      <c r="D118" s="88"/>
      <c r="E118" s="87" t="s">
        <v>126</v>
      </c>
      <c r="F118" s="89"/>
      <c r="G118" s="87" t="s">
        <v>126</v>
      </c>
      <c r="H118" s="89">
        <v>24.94</v>
      </c>
      <c r="K118" s="91"/>
    </row>
    <row r="119" spans="1:14" s="93" customFormat="1" x14ac:dyDescent="0.2">
      <c r="A119" s="92"/>
      <c r="K119" s="94"/>
    </row>
    <row r="120" spans="1:14" s="98" customFormat="1" ht="19.5" thickBot="1" x14ac:dyDescent="0.45">
      <c r="A120" s="95"/>
      <c r="B120" s="96"/>
      <c r="C120" s="97"/>
      <c r="D120" s="97"/>
      <c r="E120" s="97"/>
      <c r="F120" s="97"/>
      <c r="G120" s="97"/>
      <c r="H120" s="97"/>
      <c r="K120" s="99"/>
    </row>
    <row r="121" spans="1:14" s="98" customFormat="1" ht="30.75" thickBot="1" x14ac:dyDescent="0.45">
      <c r="A121" s="78" t="s">
        <v>127</v>
      </c>
      <c r="B121" s="83"/>
      <c r="C121" s="84">
        <f>F121*12</f>
        <v>0</v>
      </c>
      <c r="D121" s="84">
        <f>D124+D125+D126+D127+D128+D136+D137+D138</f>
        <v>130614.96</v>
      </c>
      <c r="E121" s="84" t="e">
        <f t="shared" ref="E121:H121" si="11">E124+E125+E126+E127+E128+E136+E137+E138</f>
        <v>#VALUE!</v>
      </c>
      <c r="F121" s="84">
        <f t="shared" si="11"/>
        <v>0</v>
      </c>
      <c r="G121" s="84">
        <f t="shared" si="11"/>
        <v>50.94</v>
      </c>
      <c r="H121" s="84">
        <f t="shared" si="11"/>
        <v>4.24</v>
      </c>
      <c r="I121" s="14">
        <v>2564.3000000000002</v>
      </c>
      <c r="K121" s="99"/>
    </row>
    <row r="122" spans="1:14" s="22" customFormat="1" ht="15" hidden="1" x14ac:dyDescent="0.2">
      <c r="A122" s="53"/>
      <c r="B122" s="37"/>
      <c r="C122" s="54"/>
      <c r="D122" s="55"/>
      <c r="E122" s="54"/>
      <c r="F122" s="56"/>
      <c r="G122" s="54"/>
      <c r="H122" s="54"/>
      <c r="I122" s="14"/>
      <c r="J122" s="14"/>
      <c r="K122" s="15"/>
    </row>
    <row r="123" spans="1:14" s="22" customFormat="1" ht="15" hidden="1" x14ac:dyDescent="0.2">
      <c r="A123" s="53"/>
      <c r="B123" s="37"/>
      <c r="C123" s="54"/>
      <c r="D123" s="55"/>
      <c r="E123" s="54"/>
      <c r="F123" s="56"/>
      <c r="G123" s="54"/>
      <c r="H123" s="54"/>
      <c r="I123" s="14"/>
      <c r="J123" s="14"/>
      <c r="K123" s="15"/>
    </row>
    <row r="124" spans="1:14" s="22" customFormat="1" ht="15" x14ac:dyDescent="0.2">
      <c r="A124" s="100" t="s">
        <v>149</v>
      </c>
      <c r="B124" s="37"/>
      <c r="C124" s="54"/>
      <c r="D124" s="55">
        <f>10000.39*I124/L124</f>
        <v>8420.57</v>
      </c>
      <c r="E124" s="54"/>
      <c r="F124" s="56"/>
      <c r="G124" s="54">
        <f t="shared" ref="G124:G138" si="12">D124/I124</f>
        <v>3.28</v>
      </c>
      <c r="H124" s="54">
        <f t="shared" ref="H124:H138" si="13">G124/12</f>
        <v>0.27</v>
      </c>
      <c r="I124" s="14">
        <v>2564.3000000000002</v>
      </c>
      <c r="J124" s="14"/>
      <c r="K124" s="15"/>
      <c r="L124" s="22">
        <v>3045.4</v>
      </c>
    </row>
    <row r="125" spans="1:14" s="22" customFormat="1" ht="15" x14ac:dyDescent="0.2">
      <c r="A125" s="100" t="s">
        <v>150</v>
      </c>
      <c r="B125" s="37"/>
      <c r="C125" s="54"/>
      <c r="D125" s="55">
        <f>10987.26*I125/L125</f>
        <v>9251.5400000000009</v>
      </c>
      <c r="E125" s="54"/>
      <c r="F125" s="56"/>
      <c r="G125" s="54">
        <f t="shared" si="12"/>
        <v>3.61</v>
      </c>
      <c r="H125" s="54">
        <f t="shared" si="13"/>
        <v>0.3</v>
      </c>
      <c r="I125" s="14">
        <v>2564.3000000000002</v>
      </c>
      <c r="J125" s="14"/>
      <c r="K125" s="15"/>
      <c r="L125" s="22">
        <v>3045.4</v>
      </c>
    </row>
    <row r="126" spans="1:14" s="22" customFormat="1" ht="15" x14ac:dyDescent="0.2">
      <c r="A126" s="100" t="s">
        <v>151</v>
      </c>
      <c r="B126" s="37"/>
      <c r="C126" s="54"/>
      <c r="D126" s="55">
        <f>2268.69*I126/L126</f>
        <v>1910.29</v>
      </c>
      <c r="E126" s="54"/>
      <c r="F126" s="56"/>
      <c r="G126" s="54">
        <f t="shared" si="12"/>
        <v>0.74</v>
      </c>
      <c r="H126" s="54">
        <f t="shared" si="13"/>
        <v>0.06</v>
      </c>
      <c r="I126" s="14">
        <v>2564.3000000000002</v>
      </c>
      <c r="J126" s="14"/>
      <c r="K126" s="15"/>
      <c r="L126" s="22">
        <v>3045.4</v>
      </c>
    </row>
    <row r="127" spans="1:14" s="22" customFormat="1" ht="15" x14ac:dyDescent="0.2">
      <c r="A127" s="100" t="s">
        <v>152</v>
      </c>
      <c r="B127" s="37"/>
      <c r="C127" s="54"/>
      <c r="D127" s="55">
        <f>3218.1*I127/L127</f>
        <v>2709.72</v>
      </c>
      <c r="E127" s="54"/>
      <c r="F127" s="56"/>
      <c r="G127" s="54">
        <f t="shared" si="12"/>
        <v>1.06</v>
      </c>
      <c r="H127" s="54">
        <f t="shared" si="13"/>
        <v>0.09</v>
      </c>
      <c r="I127" s="14">
        <v>2564.3000000000002</v>
      </c>
      <c r="J127" s="14"/>
      <c r="K127" s="15"/>
      <c r="L127" s="22">
        <v>3045.4</v>
      </c>
    </row>
    <row r="128" spans="1:14" s="22" customFormat="1" ht="22.5" customHeight="1" x14ac:dyDescent="0.2">
      <c r="A128" s="100" t="s">
        <v>154</v>
      </c>
      <c r="B128" s="37"/>
      <c r="C128" s="54"/>
      <c r="D128" s="55">
        <f>722.42*I128/L128</f>
        <v>608.29999999999995</v>
      </c>
      <c r="E128" s="54"/>
      <c r="F128" s="56"/>
      <c r="G128" s="54">
        <f t="shared" si="12"/>
        <v>0.24</v>
      </c>
      <c r="H128" s="54">
        <f t="shared" si="13"/>
        <v>0.02</v>
      </c>
      <c r="I128" s="14">
        <v>2564.3000000000002</v>
      </c>
      <c r="J128" s="14"/>
      <c r="K128" s="15"/>
      <c r="L128" s="22">
        <v>3045.4</v>
      </c>
    </row>
    <row r="129" spans="1:12" s="22" customFormat="1" ht="15" hidden="1" x14ac:dyDescent="0.2">
      <c r="A129" s="100" t="s">
        <v>128</v>
      </c>
      <c r="B129" s="37"/>
      <c r="C129" s="54"/>
      <c r="D129" s="55"/>
      <c r="E129" s="54"/>
      <c r="F129" s="56"/>
      <c r="G129" s="54">
        <f t="shared" si="12"/>
        <v>0</v>
      </c>
      <c r="H129" s="54">
        <f t="shared" si="13"/>
        <v>0</v>
      </c>
      <c r="I129" s="14">
        <v>3045.4</v>
      </c>
      <c r="J129" s="14"/>
      <c r="K129" s="15"/>
    </row>
    <row r="130" spans="1:12" s="22" customFormat="1" ht="15" hidden="1" x14ac:dyDescent="0.2">
      <c r="A130" s="53"/>
      <c r="B130" s="37"/>
      <c r="C130" s="54"/>
      <c r="D130" s="55"/>
      <c r="E130" s="54"/>
      <c r="F130" s="56"/>
      <c r="G130" s="54">
        <f t="shared" si="12"/>
        <v>0</v>
      </c>
      <c r="H130" s="54">
        <f t="shared" si="13"/>
        <v>0</v>
      </c>
      <c r="I130" s="14">
        <v>3045.4</v>
      </c>
      <c r="J130" s="14"/>
      <c r="K130" s="15"/>
    </row>
    <row r="131" spans="1:12" s="22" customFormat="1" ht="15" hidden="1" x14ac:dyDescent="0.2">
      <c r="A131" s="53"/>
      <c r="B131" s="37"/>
      <c r="C131" s="54"/>
      <c r="D131" s="55"/>
      <c r="E131" s="54"/>
      <c r="F131" s="56"/>
      <c r="G131" s="54">
        <f t="shared" si="12"/>
        <v>0</v>
      </c>
      <c r="H131" s="54">
        <f t="shared" si="13"/>
        <v>0</v>
      </c>
      <c r="I131" s="14">
        <v>3045.4</v>
      </c>
      <c r="J131" s="14"/>
      <c r="K131" s="15"/>
    </row>
    <row r="132" spans="1:12" s="22" customFormat="1" ht="15" hidden="1" x14ac:dyDescent="0.2">
      <c r="A132" s="53"/>
      <c r="B132" s="37"/>
      <c r="C132" s="54"/>
      <c r="D132" s="55"/>
      <c r="E132" s="54"/>
      <c r="F132" s="56"/>
      <c r="G132" s="54">
        <f t="shared" si="12"/>
        <v>0</v>
      </c>
      <c r="H132" s="54">
        <f t="shared" si="13"/>
        <v>0</v>
      </c>
      <c r="I132" s="14">
        <v>2564.3000000000002</v>
      </c>
      <c r="J132" s="14"/>
      <c r="K132" s="15"/>
    </row>
    <row r="133" spans="1:12" s="22" customFormat="1" ht="15" hidden="1" x14ac:dyDescent="0.2">
      <c r="A133" s="53"/>
      <c r="B133" s="37"/>
      <c r="C133" s="54"/>
      <c r="D133" s="55"/>
      <c r="E133" s="54"/>
      <c r="F133" s="56"/>
      <c r="G133" s="54">
        <f t="shared" si="12"/>
        <v>0</v>
      </c>
      <c r="H133" s="54">
        <f t="shared" si="13"/>
        <v>0</v>
      </c>
      <c r="I133" s="14">
        <v>3045.4</v>
      </c>
      <c r="J133" s="14"/>
      <c r="K133" s="15"/>
    </row>
    <row r="134" spans="1:12" s="22" customFormat="1" ht="16.5" hidden="1" customHeight="1" x14ac:dyDescent="0.2">
      <c r="A134" s="53"/>
      <c r="B134" s="37"/>
      <c r="C134" s="54"/>
      <c r="D134" s="55"/>
      <c r="E134" s="54"/>
      <c r="F134" s="56"/>
      <c r="G134" s="54">
        <f t="shared" si="12"/>
        <v>0</v>
      </c>
      <c r="H134" s="54">
        <f t="shared" si="13"/>
        <v>0</v>
      </c>
      <c r="I134" s="14">
        <v>3045.4</v>
      </c>
      <c r="J134" s="14"/>
      <c r="K134" s="15"/>
    </row>
    <row r="135" spans="1:12" s="22" customFormat="1" ht="16.5" hidden="1" customHeight="1" x14ac:dyDescent="0.2">
      <c r="A135" s="100"/>
      <c r="B135" s="37"/>
      <c r="C135" s="54"/>
      <c r="D135" s="54"/>
      <c r="E135" s="54"/>
      <c r="F135" s="54"/>
      <c r="G135" s="54">
        <f t="shared" si="12"/>
        <v>0</v>
      </c>
      <c r="H135" s="54">
        <f t="shared" si="13"/>
        <v>0</v>
      </c>
      <c r="I135" s="14">
        <v>3045.4</v>
      </c>
      <c r="J135" s="14"/>
      <c r="K135" s="15"/>
    </row>
    <row r="136" spans="1:12" s="22" customFormat="1" ht="16.5" customHeight="1" x14ac:dyDescent="0.2">
      <c r="A136" s="100" t="s">
        <v>164</v>
      </c>
      <c r="B136" s="37"/>
      <c r="C136" s="54"/>
      <c r="D136" s="54">
        <f>29810.88*I136/L136</f>
        <v>25101.48</v>
      </c>
      <c r="E136" s="100" t="s">
        <v>164</v>
      </c>
      <c r="F136" s="37"/>
      <c r="G136" s="54">
        <f t="shared" si="12"/>
        <v>9.7899999999999991</v>
      </c>
      <c r="H136" s="54">
        <f t="shared" si="13"/>
        <v>0.82</v>
      </c>
      <c r="I136" s="14">
        <v>2564.3000000000002</v>
      </c>
      <c r="J136" s="14"/>
      <c r="K136" s="15"/>
      <c r="L136" s="22">
        <v>3045.4</v>
      </c>
    </row>
    <row r="137" spans="1:12" s="22" customFormat="1" ht="16.5" customHeight="1" x14ac:dyDescent="0.2">
      <c r="A137" s="100" t="s">
        <v>165</v>
      </c>
      <c r="B137" s="37"/>
      <c r="C137" s="54"/>
      <c r="D137" s="54">
        <v>69893.97</v>
      </c>
      <c r="E137" s="100" t="s">
        <v>165</v>
      </c>
      <c r="F137" s="37"/>
      <c r="G137" s="54">
        <f t="shared" si="12"/>
        <v>27.26</v>
      </c>
      <c r="H137" s="54">
        <f t="shared" si="13"/>
        <v>2.27</v>
      </c>
      <c r="I137" s="14">
        <v>2564.3000000000002</v>
      </c>
      <c r="J137" s="14"/>
      <c r="K137" s="15"/>
    </row>
    <row r="138" spans="1:12" s="22" customFormat="1" ht="16.5" customHeight="1" x14ac:dyDescent="0.2">
      <c r="A138" s="100" t="s">
        <v>166</v>
      </c>
      <c r="B138" s="37"/>
      <c r="C138" s="54"/>
      <c r="D138" s="54">
        <v>12719.09</v>
      </c>
      <c r="E138" s="100" t="s">
        <v>166</v>
      </c>
      <c r="F138" s="37"/>
      <c r="G138" s="54">
        <f t="shared" si="12"/>
        <v>4.96</v>
      </c>
      <c r="H138" s="54">
        <f t="shared" si="13"/>
        <v>0.41</v>
      </c>
      <c r="I138" s="14">
        <v>2564.3000000000002</v>
      </c>
      <c r="J138" s="14"/>
      <c r="K138" s="15"/>
    </row>
    <row r="139" spans="1:12" s="22" customFormat="1" ht="16.5" customHeight="1" x14ac:dyDescent="0.2">
      <c r="A139" s="95"/>
      <c r="B139" s="123"/>
      <c r="C139" s="124"/>
      <c r="D139" s="124"/>
      <c r="E139" s="124"/>
      <c r="F139" s="124"/>
      <c r="G139" s="124"/>
      <c r="H139" s="124"/>
      <c r="I139" s="14"/>
      <c r="J139" s="14"/>
      <c r="K139" s="15"/>
    </row>
    <row r="140" spans="1:12" s="98" customFormat="1" ht="19.5" thickBot="1" x14ac:dyDescent="0.45">
      <c r="A140" s="95"/>
      <c r="B140" s="96"/>
      <c r="C140" s="97"/>
      <c r="D140" s="97"/>
      <c r="E140" s="97"/>
      <c r="F140" s="97"/>
      <c r="G140" s="97"/>
      <c r="H140" s="97"/>
      <c r="K140" s="99"/>
    </row>
    <row r="141" spans="1:12" s="98" customFormat="1" ht="20.25" thickBot="1" x14ac:dyDescent="0.45">
      <c r="A141" s="82" t="s">
        <v>129</v>
      </c>
      <c r="B141" s="101"/>
      <c r="C141" s="101"/>
      <c r="D141" s="102">
        <f>D117+D121</f>
        <v>781126.73</v>
      </c>
      <c r="E141" s="102" t="e">
        <f>E117+E121</f>
        <v>#REF!</v>
      </c>
      <c r="F141" s="102" t="e">
        <f>F117+F121</f>
        <v>#REF!</v>
      </c>
      <c r="G141" s="102">
        <f>G117+G121</f>
        <v>308.5</v>
      </c>
      <c r="H141" s="102">
        <f>H117+H121</f>
        <v>25.71</v>
      </c>
      <c r="K141" s="99"/>
    </row>
    <row r="142" spans="1:12" s="98" customFormat="1" ht="19.5" x14ac:dyDescent="0.4">
      <c r="A142" s="103"/>
      <c r="B142" s="104"/>
      <c r="C142" s="104"/>
      <c r="D142" s="105"/>
      <c r="E142" s="104"/>
      <c r="F142" s="104"/>
      <c r="G142" s="105"/>
      <c r="H142" s="105"/>
      <c r="K142" s="99"/>
    </row>
    <row r="143" spans="1:12" s="98" customFormat="1" ht="19.5" x14ac:dyDescent="0.4">
      <c r="A143" s="103"/>
      <c r="B143" s="104"/>
      <c r="C143" s="104"/>
      <c r="D143" s="105"/>
      <c r="E143" s="104"/>
      <c r="F143" s="104"/>
      <c r="G143" s="105"/>
      <c r="H143" s="105"/>
      <c r="K143" s="99"/>
    </row>
    <row r="144" spans="1:12" s="98" customFormat="1" ht="19.5" x14ac:dyDescent="0.4">
      <c r="A144" s="103"/>
      <c r="B144" s="104"/>
      <c r="C144" s="104"/>
      <c r="D144" s="105"/>
      <c r="E144" s="104"/>
      <c r="F144" s="104"/>
      <c r="G144" s="105"/>
      <c r="H144" s="105"/>
      <c r="K144" s="99"/>
    </row>
    <row r="145" spans="1:11" s="90" customFormat="1" ht="19.5" x14ac:dyDescent="0.2">
      <c r="A145" s="106"/>
      <c r="B145" s="104"/>
      <c r="C145" s="105"/>
      <c r="D145" s="105"/>
      <c r="E145" s="105"/>
      <c r="F145" s="105"/>
      <c r="G145" s="105"/>
      <c r="H145" s="105"/>
      <c r="K145" s="91"/>
    </row>
    <row r="146" spans="1:11" s="93" customFormat="1" ht="14.25" x14ac:dyDescent="0.2">
      <c r="A146" s="142" t="s">
        <v>130</v>
      </c>
      <c r="B146" s="142"/>
      <c r="C146" s="142"/>
      <c r="D146" s="142"/>
      <c r="E146" s="142"/>
      <c r="F146" s="142"/>
      <c r="K146" s="94"/>
    </row>
    <row r="147" spans="1:11" s="93" customFormat="1" x14ac:dyDescent="0.2">
      <c r="K147" s="94"/>
    </row>
    <row r="148" spans="1:11" s="93" customFormat="1" x14ac:dyDescent="0.2">
      <c r="A148" s="92" t="s">
        <v>131</v>
      </c>
      <c r="K148" s="94"/>
    </row>
    <row r="149" spans="1:11" s="93" customFormat="1" x14ac:dyDescent="0.2">
      <c r="K149" s="94"/>
    </row>
    <row r="150" spans="1:11" s="93" customFormat="1" x14ac:dyDescent="0.2">
      <c r="K150" s="94"/>
    </row>
    <row r="151" spans="1:11" s="93" customFormat="1" x14ac:dyDescent="0.2">
      <c r="K151" s="94"/>
    </row>
    <row r="152" spans="1:11" s="93" customFormat="1" x14ac:dyDescent="0.2">
      <c r="K152" s="94"/>
    </row>
    <row r="153" spans="1:11" s="93" customFormat="1" x14ac:dyDescent="0.2">
      <c r="K153" s="94"/>
    </row>
    <row r="154" spans="1:11" s="93" customFormat="1" x14ac:dyDescent="0.2">
      <c r="K154" s="94"/>
    </row>
    <row r="155" spans="1:11" s="93" customFormat="1" x14ac:dyDescent="0.2">
      <c r="K155" s="94"/>
    </row>
    <row r="156" spans="1:11" s="93" customFormat="1" x14ac:dyDescent="0.2">
      <c r="K156" s="94"/>
    </row>
    <row r="157" spans="1:11" s="93" customFormat="1" x14ac:dyDescent="0.2">
      <c r="K157" s="94"/>
    </row>
    <row r="158" spans="1:11" s="93" customFormat="1" x14ac:dyDescent="0.2">
      <c r="K158" s="94"/>
    </row>
    <row r="159" spans="1:11" s="93" customFormat="1" x14ac:dyDescent="0.2">
      <c r="K159" s="94"/>
    </row>
    <row r="160" spans="1:11" s="93" customFormat="1" x14ac:dyDescent="0.2">
      <c r="K160" s="94"/>
    </row>
    <row r="161" spans="11:11" s="93" customFormat="1" x14ac:dyDescent="0.2">
      <c r="K161" s="94"/>
    </row>
    <row r="162" spans="11:11" s="93" customFormat="1" x14ac:dyDescent="0.2">
      <c r="K162" s="94"/>
    </row>
    <row r="163" spans="11:11" s="93" customFormat="1" x14ac:dyDescent="0.2">
      <c r="K163" s="94"/>
    </row>
    <row r="164" spans="11:11" s="93" customFormat="1" x14ac:dyDescent="0.2">
      <c r="K164" s="94"/>
    </row>
    <row r="165" spans="11:11" s="93" customFormat="1" x14ac:dyDescent="0.2">
      <c r="K165" s="94"/>
    </row>
    <row r="166" spans="11:11" s="93" customFormat="1" x14ac:dyDescent="0.2">
      <c r="K166" s="94"/>
    </row>
  </sheetData>
  <mergeCells count="12">
    <mergeCell ref="A146:F146"/>
    <mergeCell ref="A1:H1"/>
    <mergeCell ref="B2:H2"/>
    <mergeCell ref="B3:H3"/>
    <mergeCell ref="B5:H5"/>
    <mergeCell ref="A6:H6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5"/>
  <sheetViews>
    <sheetView topLeftCell="A69" zoomScale="75" workbookViewId="0">
      <selection activeCell="D116" sqref="D116:H116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140625" style="1" customWidth="1"/>
    <col min="5" max="5" width="13.85546875" style="1" hidden="1" customWidth="1"/>
    <col min="6" max="6" width="20.85546875" style="1" hidden="1" customWidth="1"/>
    <col min="7" max="7" width="15.71093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43" t="s">
        <v>0</v>
      </c>
      <c r="B1" s="144"/>
      <c r="C1" s="144"/>
      <c r="D1" s="144"/>
      <c r="E1" s="144"/>
      <c r="F1" s="144"/>
      <c r="G1" s="144"/>
      <c r="H1" s="144"/>
    </row>
    <row r="2" spans="1:12" ht="12.75" customHeight="1" x14ac:dyDescent="0.3">
      <c r="B2" s="145" t="s">
        <v>1</v>
      </c>
      <c r="C2" s="145"/>
      <c r="D2" s="145"/>
      <c r="E2" s="145"/>
      <c r="F2" s="145"/>
      <c r="G2" s="144"/>
      <c r="H2" s="144"/>
    </row>
    <row r="3" spans="1:12" ht="21" customHeight="1" x14ac:dyDescent="0.3">
      <c r="A3" s="3" t="s">
        <v>161</v>
      </c>
      <c r="B3" s="145" t="s">
        <v>2</v>
      </c>
      <c r="C3" s="145"/>
      <c r="D3" s="145"/>
      <c r="E3" s="145"/>
      <c r="F3" s="145"/>
      <c r="G3" s="144"/>
      <c r="H3" s="144"/>
    </row>
    <row r="4" spans="1:12" ht="21" customHeight="1" x14ac:dyDescent="0.3">
      <c r="A4" s="3"/>
      <c r="B4" s="131"/>
      <c r="C4" s="131"/>
      <c r="D4" s="131"/>
      <c r="E4" s="131"/>
      <c r="F4" s="131"/>
      <c r="G4" s="130"/>
      <c r="H4" s="130"/>
    </row>
    <row r="5" spans="1:12" ht="14.25" customHeight="1" x14ac:dyDescent="0.3">
      <c r="B5" s="145" t="s">
        <v>3</v>
      </c>
      <c r="C5" s="145"/>
      <c r="D5" s="145"/>
      <c r="E5" s="145"/>
      <c r="F5" s="145"/>
      <c r="G5" s="144"/>
      <c r="H5" s="144"/>
    </row>
    <row r="6" spans="1:12" ht="18" customHeight="1" x14ac:dyDescent="0.4">
      <c r="A6" s="146"/>
      <c r="B6" s="146"/>
      <c r="C6" s="146"/>
      <c r="D6" s="146"/>
      <c r="E6" s="146"/>
      <c r="F6" s="146"/>
      <c r="G6" s="146"/>
      <c r="H6" s="146"/>
    </row>
    <row r="7" spans="1:12" ht="18" customHeight="1" x14ac:dyDescent="0.2">
      <c r="A7" s="147" t="s">
        <v>162</v>
      </c>
      <c r="B7" s="147"/>
      <c r="C7" s="147"/>
      <c r="D7" s="147"/>
      <c r="E7" s="147"/>
      <c r="F7" s="147"/>
      <c r="G7" s="147"/>
      <c r="H7" s="147"/>
    </row>
    <row r="8" spans="1:12" s="6" customFormat="1" ht="22.5" customHeight="1" x14ac:dyDescent="0.4">
      <c r="A8" s="132" t="s">
        <v>4</v>
      </c>
      <c r="B8" s="132"/>
      <c r="C8" s="132"/>
      <c r="D8" s="132"/>
      <c r="E8" s="133"/>
      <c r="F8" s="133"/>
      <c r="G8" s="133"/>
      <c r="H8" s="133"/>
      <c r="K8" s="7"/>
    </row>
    <row r="9" spans="1:12" s="8" customFormat="1" ht="18.75" customHeight="1" x14ac:dyDescent="0.4">
      <c r="A9" s="132" t="s">
        <v>167</v>
      </c>
      <c r="B9" s="132"/>
      <c r="C9" s="132"/>
      <c r="D9" s="132"/>
      <c r="E9" s="133"/>
      <c r="F9" s="133"/>
      <c r="G9" s="133"/>
      <c r="H9" s="133"/>
    </row>
    <row r="10" spans="1:12" s="9" customFormat="1" ht="17.25" customHeight="1" x14ac:dyDescent="0.2">
      <c r="A10" s="134" t="s">
        <v>5</v>
      </c>
      <c r="B10" s="134"/>
      <c r="C10" s="134"/>
      <c r="D10" s="134"/>
      <c r="E10" s="135"/>
      <c r="F10" s="135"/>
      <c r="G10" s="135"/>
      <c r="H10" s="135"/>
    </row>
    <row r="11" spans="1:12" s="8" customFormat="1" ht="30" customHeight="1" thickBot="1" x14ac:dyDescent="0.25">
      <c r="A11" s="136" t="s">
        <v>6</v>
      </c>
      <c r="B11" s="136"/>
      <c r="C11" s="136"/>
      <c r="D11" s="136"/>
      <c r="E11" s="137"/>
      <c r="F11" s="137"/>
      <c r="G11" s="137"/>
      <c r="H11" s="137"/>
    </row>
    <row r="12" spans="1:12" s="14" customFormat="1" ht="139.5" customHeight="1" thickBot="1" x14ac:dyDescent="0.25">
      <c r="A12" s="10" t="s">
        <v>7</v>
      </c>
      <c r="B12" s="11" t="s">
        <v>8</v>
      </c>
      <c r="C12" s="12" t="s">
        <v>9</v>
      </c>
      <c r="D12" s="12" t="s">
        <v>10</v>
      </c>
      <c r="E12" s="12" t="s">
        <v>9</v>
      </c>
      <c r="F12" s="13" t="s">
        <v>11</v>
      </c>
      <c r="G12" s="12" t="s">
        <v>9</v>
      </c>
      <c r="H12" s="13" t="s">
        <v>11</v>
      </c>
      <c r="K12" s="15"/>
    </row>
    <row r="13" spans="1:12" s="22" customFormat="1" x14ac:dyDescent="0.2">
      <c r="A13" s="16">
        <v>1</v>
      </c>
      <c r="B13" s="17">
        <v>2</v>
      </c>
      <c r="C13" s="17">
        <v>3</v>
      </c>
      <c r="D13" s="18"/>
      <c r="E13" s="17">
        <v>3</v>
      </c>
      <c r="F13" s="19">
        <v>4</v>
      </c>
      <c r="G13" s="20">
        <v>3</v>
      </c>
      <c r="H13" s="21">
        <v>4</v>
      </c>
      <c r="K13" s="23"/>
    </row>
    <row r="14" spans="1:12" s="22" customFormat="1" ht="49.5" customHeight="1" x14ac:dyDescent="0.2">
      <c r="A14" s="138" t="s">
        <v>12</v>
      </c>
      <c r="B14" s="139"/>
      <c r="C14" s="139"/>
      <c r="D14" s="139"/>
      <c r="E14" s="139"/>
      <c r="F14" s="139"/>
      <c r="G14" s="140"/>
      <c r="H14" s="141"/>
      <c r="K14" s="23"/>
    </row>
    <row r="15" spans="1:12" s="14" customFormat="1" ht="15" x14ac:dyDescent="0.2">
      <c r="A15" s="24" t="s">
        <v>140</v>
      </c>
      <c r="B15" s="25" t="s">
        <v>13</v>
      </c>
      <c r="C15" s="26">
        <f>F15*12</f>
        <v>0</v>
      </c>
      <c r="D15" s="38">
        <f>G15*I15</f>
        <v>90776.22</v>
      </c>
      <c r="E15" s="26">
        <f>H15*12</f>
        <v>35.4</v>
      </c>
      <c r="F15" s="39"/>
      <c r="G15" s="26">
        <f>H15*12</f>
        <v>35.4</v>
      </c>
      <c r="H15" s="26">
        <f>H20+H22</f>
        <v>2.95</v>
      </c>
      <c r="I15" s="14">
        <v>2564.3000000000002</v>
      </c>
      <c r="J15" s="14">
        <v>1.07</v>
      </c>
      <c r="K15" s="15">
        <v>2.2400000000000002</v>
      </c>
      <c r="L15" s="14">
        <v>3045.4</v>
      </c>
    </row>
    <row r="16" spans="1:12" s="14" customFormat="1" ht="29.25" customHeight="1" x14ac:dyDescent="0.2">
      <c r="A16" s="30" t="s">
        <v>14</v>
      </c>
      <c r="B16" s="31" t="s">
        <v>15</v>
      </c>
      <c r="C16" s="32"/>
      <c r="D16" s="33"/>
      <c r="E16" s="32"/>
      <c r="F16" s="34"/>
      <c r="G16" s="32"/>
      <c r="H16" s="32"/>
      <c r="K16" s="15"/>
    </row>
    <row r="17" spans="1:12" s="14" customFormat="1" ht="15" x14ac:dyDescent="0.2">
      <c r="A17" s="30" t="s">
        <v>16</v>
      </c>
      <c r="B17" s="31" t="s">
        <v>15</v>
      </c>
      <c r="C17" s="32"/>
      <c r="D17" s="33"/>
      <c r="E17" s="32"/>
      <c r="F17" s="34"/>
      <c r="G17" s="32"/>
      <c r="H17" s="32"/>
      <c r="K17" s="15"/>
    </row>
    <row r="18" spans="1:12" s="14" customFormat="1" ht="15" x14ac:dyDescent="0.2">
      <c r="A18" s="30" t="s">
        <v>17</v>
      </c>
      <c r="B18" s="31" t="s">
        <v>18</v>
      </c>
      <c r="C18" s="32"/>
      <c r="D18" s="33"/>
      <c r="E18" s="32"/>
      <c r="F18" s="34"/>
      <c r="G18" s="32"/>
      <c r="H18" s="32"/>
      <c r="K18" s="15"/>
    </row>
    <row r="19" spans="1:12" s="14" customFormat="1" ht="15" x14ac:dyDescent="0.2">
      <c r="A19" s="30" t="s">
        <v>19</v>
      </c>
      <c r="B19" s="31" t="s">
        <v>15</v>
      </c>
      <c r="C19" s="32"/>
      <c r="D19" s="33"/>
      <c r="E19" s="32"/>
      <c r="F19" s="34"/>
      <c r="G19" s="32"/>
      <c r="H19" s="32"/>
      <c r="K19" s="15"/>
    </row>
    <row r="20" spans="1:12" s="14" customFormat="1" ht="15" x14ac:dyDescent="0.2">
      <c r="A20" s="24" t="s">
        <v>139</v>
      </c>
      <c r="B20" s="31"/>
      <c r="C20" s="32"/>
      <c r="D20" s="33"/>
      <c r="E20" s="32"/>
      <c r="F20" s="34"/>
      <c r="G20" s="32"/>
      <c r="H20" s="26">
        <v>2.83</v>
      </c>
      <c r="K20" s="15"/>
    </row>
    <row r="21" spans="1:12" s="14" customFormat="1" ht="15" x14ac:dyDescent="0.2">
      <c r="A21" s="30" t="s">
        <v>137</v>
      </c>
      <c r="B21" s="31" t="s">
        <v>15</v>
      </c>
      <c r="C21" s="32"/>
      <c r="D21" s="33"/>
      <c r="E21" s="32"/>
      <c r="F21" s="34"/>
      <c r="G21" s="32"/>
      <c r="H21" s="32">
        <v>0.12</v>
      </c>
      <c r="K21" s="15"/>
    </row>
    <row r="22" spans="1:12" s="14" customFormat="1" ht="15" x14ac:dyDescent="0.2">
      <c r="A22" s="24" t="s">
        <v>139</v>
      </c>
      <c r="B22" s="31"/>
      <c r="C22" s="32"/>
      <c r="D22" s="33"/>
      <c r="E22" s="32"/>
      <c r="F22" s="34"/>
      <c r="G22" s="32"/>
      <c r="H22" s="26">
        <f>H21</f>
        <v>0.12</v>
      </c>
      <c r="K22" s="15"/>
    </row>
    <row r="23" spans="1:12" s="14" customFormat="1" ht="30" x14ac:dyDescent="0.2">
      <c r="A23" s="24" t="s">
        <v>20</v>
      </c>
      <c r="B23" s="35"/>
      <c r="C23" s="26">
        <f>F23*12</f>
        <v>0</v>
      </c>
      <c r="D23" s="38">
        <v>13768.65</v>
      </c>
      <c r="E23" s="26">
        <f>H23*12</f>
        <v>5.4</v>
      </c>
      <c r="F23" s="39"/>
      <c r="G23" s="26">
        <f>D23/I23</f>
        <v>5.37</v>
      </c>
      <c r="H23" s="26">
        <f>G23/12</f>
        <v>0.45</v>
      </c>
      <c r="I23" s="14">
        <v>2564.3000000000002</v>
      </c>
      <c r="J23" s="14">
        <v>1.07</v>
      </c>
      <c r="K23" s="15">
        <v>1.27</v>
      </c>
    </row>
    <row r="24" spans="1:12" s="14" customFormat="1" ht="15" x14ac:dyDescent="0.2">
      <c r="A24" s="36" t="s">
        <v>21</v>
      </c>
      <c r="B24" s="37" t="s">
        <v>22</v>
      </c>
      <c r="C24" s="26"/>
      <c r="D24" s="38"/>
      <c r="E24" s="26"/>
      <c r="F24" s="39"/>
      <c r="G24" s="26"/>
      <c r="H24" s="26"/>
      <c r="K24" s="15"/>
    </row>
    <row r="25" spans="1:12" s="14" customFormat="1" ht="15" x14ac:dyDescent="0.2">
      <c r="A25" s="36" t="s">
        <v>23</v>
      </c>
      <c r="B25" s="37" t="s">
        <v>22</v>
      </c>
      <c r="C25" s="26"/>
      <c r="D25" s="38"/>
      <c r="E25" s="26"/>
      <c r="F25" s="39"/>
      <c r="G25" s="26"/>
      <c r="H25" s="26"/>
      <c r="K25" s="15"/>
    </row>
    <row r="26" spans="1:12" s="14" customFormat="1" ht="15" x14ac:dyDescent="0.2">
      <c r="A26" s="40" t="s">
        <v>24</v>
      </c>
      <c r="B26" s="41" t="s">
        <v>25</v>
      </c>
      <c r="C26" s="26"/>
      <c r="D26" s="38"/>
      <c r="E26" s="26"/>
      <c r="F26" s="39"/>
      <c r="G26" s="26"/>
      <c r="H26" s="26"/>
      <c r="K26" s="15"/>
    </row>
    <row r="27" spans="1:12" s="14" customFormat="1" ht="15" x14ac:dyDescent="0.2">
      <c r="A27" s="36" t="s">
        <v>26</v>
      </c>
      <c r="B27" s="37" t="s">
        <v>22</v>
      </c>
      <c r="C27" s="26"/>
      <c r="D27" s="38"/>
      <c r="E27" s="26"/>
      <c r="F27" s="39"/>
      <c r="G27" s="26"/>
      <c r="H27" s="26"/>
      <c r="K27" s="15"/>
    </row>
    <row r="28" spans="1:12" s="14" customFormat="1" ht="25.5" x14ac:dyDescent="0.2">
      <c r="A28" s="36" t="s">
        <v>27</v>
      </c>
      <c r="B28" s="37" t="s">
        <v>28</v>
      </c>
      <c r="C28" s="26"/>
      <c r="D28" s="38"/>
      <c r="E28" s="26"/>
      <c r="F28" s="39"/>
      <c r="G28" s="26"/>
      <c r="H28" s="26"/>
      <c r="K28" s="15"/>
    </row>
    <row r="29" spans="1:12" s="14" customFormat="1" ht="15" x14ac:dyDescent="0.2">
      <c r="A29" s="36" t="s">
        <v>29</v>
      </c>
      <c r="B29" s="37" t="s">
        <v>22</v>
      </c>
      <c r="C29" s="26"/>
      <c r="D29" s="38"/>
      <c r="E29" s="26"/>
      <c r="F29" s="39"/>
      <c r="G29" s="26"/>
      <c r="H29" s="26"/>
      <c r="K29" s="15"/>
    </row>
    <row r="30" spans="1:12" s="14" customFormat="1" ht="15" x14ac:dyDescent="0.2">
      <c r="A30" s="42" t="s">
        <v>30</v>
      </c>
      <c r="B30" s="43" t="s">
        <v>22</v>
      </c>
      <c r="C30" s="26"/>
      <c r="D30" s="38"/>
      <c r="E30" s="26"/>
      <c r="F30" s="39"/>
      <c r="G30" s="26"/>
      <c r="H30" s="26"/>
      <c r="K30" s="15"/>
    </row>
    <row r="31" spans="1:12" s="14" customFormat="1" ht="26.25" thickBot="1" x14ac:dyDescent="0.25">
      <c r="A31" s="44" t="s">
        <v>31</v>
      </c>
      <c r="B31" s="45" t="s">
        <v>32</v>
      </c>
      <c r="C31" s="26"/>
      <c r="D31" s="38"/>
      <c r="E31" s="26"/>
      <c r="F31" s="39"/>
      <c r="G31" s="26"/>
      <c r="H31" s="26"/>
      <c r="K31" s="15"/>
    </row>
    <row r="32" spans="1:12" s="47" customFormat="1" ht="21" customHeight="1" x14ac:dyDescent="0.2">
      <c r="A32" s="46" t="s">
        <v>33</v>
      </c>
      <c r="B32" s="25" t="s">
        <v>34</v>
      </c>
      <c r="C32" s="26">
        <f>F32*12</f>
        <v>0</v>
      </c>
      <c r="D32" s="38">
        <f>G32*I32</f>
        <v>23078.7</v>
      </c>
      <c r="E32" s="26">
        <f>H32*12</f>
        <v>9</v>
      </c>
      <c r="F32" s="48"/>
      <c r="G32" s="26">
        <f>H32*12</f>
        <v>9</v>
      </c>
      <c r="H32" s="26">
        <v>0.75</v>
      </c>
      <c r="I32" s="14">
        <v>2564.3000000000002</v>
      </c>
      <c r="J32" s="14">
        <v>1.07</v>
      </c>
      <c r="K32" s="15">
        <v>0.6</v>
      </c>
      <c r="L32" s="47">
        <v>3045.4</v>
      </c>
    </row>
    <row r="33" spans="1:12" s="14" customFormat="1" ht="15" x14ac:dyDescent="0.2">
      <c r="A33" s="46" t="s">
        <v>35</v>
      </c>
      <c r="B33" s="25" t="s">
        <v>36</v>
      </c>
      <c r="C33" s="26">
        <f>F33*12</f>
        <v>0</v>
      </c>
      <c r="D33" s="38">
        <f>G33*I33</f>
        <v>75390.42</v>
      </c>
      <c r="E33" s="26">
        <f>H33*12</f>
        <v>29.4</v>
      </c>
      <c r="F33" s="48"/>
      <c r="G33" s="26">
        <f>H33*12</f>
        <v>29.4</v>
      </c>
      <c r="H33" s="26">
        <v>2.4500000000000002</v>
      </c>
      <c r="I33" s="14">
        <v>2564.3000000000002</v>
      </c>
      <c r="J33" s="14">
        <v>1.07</v>
      </c>
      <c r="K33" s="15">
        <v>1.94</v>
      </c>
      <c r="L33" s="14">
        <v>3045.4</v>
      </c>
    </row>
    <row r="34" spans="1:12" s="14" customFormat="1" ht="15" x14ac:dyDescent="0.2">
      <c r="A34" s="46" t="s">
        <v>37</v>
      </c>
      <c r="B34" s="25" t="s">
        <v>22</v>
      </c>
      <c r="C34" s="26">
        <f>F34*12</f>
        <v>0</v>
      </c>
      <c r="D34" s="38">
        <f>G34*I34</f>
        <v>47080.55</v>
      </c>
      <c r="E34" s="26">
        <f>H34*12</f>
        <v>18.36</v>
      </c>
      <c r="F34" s="48"/>
      <c r="G34" s="26">
        <f>H34*12</f>
        <v>18.36</v>
      </c>
      <c r="H34" s="26">
        <v>1.53</v>
      </c>
      <c r="I34" s="14">
        <v>2564.3000000000002</v>
      </c>
      <c r="J34" s="14">
        <v>1.07</v>
      </c>
      <c r="K34" s="15">
        <v>1.21</v>
      </c>
    </row>
    <row r="35" spans="1:12" s="14" customFormat="1" ht="15" hidden="1" x14ac:dyDescent="0.2">
      <c r="A35" s="36" t="s">
        <v>38</v>
      </c>
      <c r="B35" s="37" t="s">
        <v>39</v>
      </c>
      <c r="C35" s="26"/>
      <c r="D35" s="38"/>
      <c r="E35" s="26"/>
      <c r="F35" s="48"/>
      <c r="G35" s="26">
        <f t="shared" ref="G35:G39" si="0">D35/I35</f>
        <v>0</v>
      </c>
      <c r="H35" s="26">
        <f t="shared" ref="H35:H53" si="1">G35/12</f>
        <v>0</v>
      </c>
      <c r="I35" s="14">
        <v>2564.3000000000002</v>
      </c>
      <c r="J35" s="14">
        <v>1.07</v>
      </c>
      <c r="K35" s="15">
        <v>0</v>
      </c>
    </row>
    <row r="36" spans="1:12" s="14" customFormat="1" ht="15" hidden="1" x14ac:dyDescent="0.2">
      <c r="A36" s="36" t="s">
        <v>40</v>
      </c>
      <c r="B36" s="37" t="s">
        <v>41</v>
      </c>
      <c r="C36" s="26"/>
      <c r="D36" s="38"/>
      <c r="E36" s="26"/>
      <c r="F36" s="48"/>
      <c r="G36" s="26">
        <f t="shared" si="0"/>
        <v>0</v>
      </c>
      <c r="H36" s="26">
        <f t="shared" si="1"/>
        <v>0</v>
      </c>
      <c r="I36" s="14">
        <v>2564.3000000000002</v>
      </c>
      <c r="J36" s="14">
        <v>1.07</v>
      </c>
      <c r="K36" s="15">
        <v>0</v>
      </c>
    </row>
    <row r="37" spans="1:12" s="14" customFormat="1" ht="15" hidden="1" x14ac:dyDescent="0.2">
      <c r="A37" s="36" t="s">
        <v>42</v>
      </c>
      <c r="B37" s="37" t="s">
        <v>41</v>
      </c>
      <c r="C37" s="26"/>
      <c r="D37" s="38"/>
      <c r="E37" s="26"/>
      <c r="F37" s="48"/>
      <c r="G37" s="26">
        <f t="shared" si="0"/>
        <v>0</v>
      </c>
      <c r="H37" s="26">
        <f t="shared" si="1"/>
        <v>0</v>
      </c>
      <c r="I37" s="14">
        <v>2564.3000000000002</v>
      </c>
      <c r="J37" s="14">
        <v>1.07</v>
      </c>
      <c r="K37" s="15">
        <v>0</v>
      </c>
    </row>
    <row r="38" spans="1:12" s="14" customFormat="1" ht="15" hidden="1" x14ac:dyDescent="0.2">
      <c r="A38" s="36" t="s">
        <v>43</v>
      </c>
      <c r="B38" s="37" t="s">
        <v>44</v>
      </c>
      <c r="C38" s="26"/>
      <c r="D38" s="38"/>
      <c r="E38" s="26"/>
      <c r="F38" s="48"/>
      <c r="G38" s="26">
        <f t="shared" si="0"/>
        <v>0</v>
      </c>
      <c r="H38" s="26">
        <f t="shared" si="1"/>
        <v>0</v>
      </c>
      <c r="I38" s="14">
        <v>2564.3000000000002</v>
      </c>
      <c r="J38" s="14">
        <v>1.07</v>
      </c>
      <c r="K38" s="15">
        <v>0</v>
      </c>
    </row>
    <row r="39" spans="1:12" s="14" customFormat="1" ht="25.5" hidden="1" x14ac:dyDescent="0.2">
      <c r="A39" s="36" t="s">
        <v>45</v>
      </c>
      <c r="B39" s="37" t="s">
        <v>28</v>
      </c>
      <c r="C39" s="26"/>
      <c r="D39" s="38"/>
      <c r="E39" s="26"/>
      <c r="F39" s="48"/>
      <c r="G39" s="26">
        <f t="shared" si="0"/>
        <v>0</v>
      </c>
      <c r="H39" s="26">
        <f t="shared" si="1"/>
        <v>0</v>
      </c>
      <c r="I39" s="14">
        <v>2564.3000000000002</v>
      </c>
      <c r="J39" s="14">
        <v>1.07</v>
      </c>
      <c r="K39" s="15">
        <v>0</v>
      </c>
    </row>
    <row r="40" spans="1:12" s="14" customFormat="1" ht="45" x14ac:dyDescent="0.2">
      <c r="A40" s="46" t="s">
        <v>46</v>
      </c>
      <c r="B40" s="25" t="s">
        <v>141</v>
      </c>
      <c r="C40" s="26"/>
      <c r="D40" s="38">
        <f>3407.5*1.105</f>
        <v>3765.29</v>
      </c>
      <c r="E40" s="26"/>
      <c r="F40" s="48"/>
      <c r="G40" s="26">
        <f>D40/I40</f>
        <v>1.47</v>
      </c>
      <c r="H40" s="26">
        <f>G40/12</f>
        <v>0.12</v>
      </c>
      <c r="I40" s="14">
        <v>2564.3000000000002</v>
      </c>
      <c r="K40" s="15"/>
    </row>
    <row r="41" spans="1:12" s="14" customFormat="1" ht="20.25" customHeight="1" x14ac:dyDescent="0.2">
      <c r="A41" s="46" t="s">
        <v>47</v>
      </c>
      <c r="B41" s="25" t="s">
        <v>22</v>
      </c>
      <c r="C41" s="26">
        <f>F41*12</f>
        <v>0</v>
      </c>
      <c r="D41" s="38">
        <f>G41*I41</f>
        <v>54465.73</v>
      </c>
      <c r="E41" s="26">
        <f>H41*12</f>
        <v>21.24</v>
      </c>
      <c r="F41" s="48"/>
      <c r="G41" s="26">
        <f>H41*12</f>
        <v>21.24</v>
      </c>
      <c r="H41" s="26">
        <v>1.77</v>
      </c>
      <c r="I41" s="14">
        <v>2564.3000000000002</v>
      </c>
      <c r="J41" s="14">
        <v>1.07</v>
      </c>
      <c r="K41" s="15">
        <v>1.4</v>
      </c>
    </row>
    <row r="42" spans="1:12" s="14" customFormat="1" ht="15" hidden="1" x14ac:dyDescent="0.2">
      <c r="A42" s="36" t="s">
        <v>48</v>
      </c>
      <c r="B42" s="37" t="s">
        <v>41</v>
      </c>
      <c r="C42" s="26"/>
      <c r="D42" s="38">
        <f t="shared" ref="D42:D47" ca="1" si="2">G42*I42</f>
        <v>49234.559999999998</v>
      </c>
      <c r="E42" s="26">
        <f t="shared" ref="E42:E47" ca="1" si="3">H42*12</f>
        <v>19.2</v>
      </c>
      <c r="F42" s="48"/>
      <c r="G42" s="26">
        <f t="shared" ref="G42:G47" ca="1" si="4">H42*12</f>
        <v>19.2</v>
      </c>
      <c r="H42" s="26">
        <f t="shared" ca="1" si="1"/>
        <v>0</v>
      </c>
      <c r="J42" s="14">
        <v>1.07</v>
      </c>
      <c r="K42" s="15">
        <v>0</v>
      </c>
    </row>
    <row r="43" spans="1:12" s="14" customFormat="1" ht="15" hidden="1" x14ac:dyDescent="0.2">
      <c r="A43" s="36" t="s">
        <v>49</v>
      </c>
      <c r="B43" s="37" t="s">
        <v>44</v>
      </c>
      <c r="C43" s="26"/>
      <c r="D43" s="38">
        <f t="shared" ca="1" si="2"/>
        <v>49234.559999999998</v>
      </c>
      <c r="E43" s="26">
        <f t="shared" ca="1" si="3"/>
        <v>19.2</v>
      </c>
      <c r="F43" s="48"/>
      <c r="G43" s="26">
        <f t="shared" ca="1" si="4"/>
        <v>19.2</v>
      </c>
      <c r="H43" s="26">
        <f t="shared" ca="1" si="1"/>
        <v>0</v>
      </c>
      <c r="J43" s="14">
        <v>1.07</v>
      </c>
      <c r="K43" s="15">
        <v>0</v>
      </c>
    </row>
    <row r="44" spans="1:12" s="14" customFormat="1" ht="25.5" hidden="1" x14ac:dyDescent="0.2">
      <c r="A44" s="36" t="s">
        <v>50</v>
      </c>
      <c r="B44" s="37" t="s">
        <v>51</v>
      </c>
      <c r="C44" s="26"/>
      <c r="D44" s="38">
        <f t="shared" ca="1" si="2"/>
        <v>49234.559999999998</v>
      </c>
      <c r="E44" s="26">
        <f t="shared" ca="1" si="3"/>
        <v>19.2</v>
      </c>
      <c r="F44" s="48"/>
      <c r="G44" s="26">
        <f t="shared" ca="1" si="4"/>
        <v>19.2</v>
      </c>
      <c r="H44" s="26">
        <f t="shared" ca="1" si="1"/>
        <v>0</v>
      </c>
      <c r="J44" s="14">
        <v>1.07</v>
      </c>
      <c r="K44" s="15">
        <v>0</v>
      </c>
    </row>
    <row r="45" spans="1:12" s="14" customFormat="1" ht="15" hidden="1" x14ac:dyDescent="0.2">
      <c r="A45" s="36" t="s">
        <v>52</v>
      </c>
      <c r="B45" s="37" t="s">
        <v>53</v>
      </c>
      <c r="C45" s="26"/>
      <c r="D45" s="38">
        <f t="shared" ca="1" si="2"/>
        <v>49234.559999999998</v>
      </c>
      <c r="E45" s="26">
        <f t="shared" ca="1" si="3"/>
        <v>19.2</v>
      </c>
      <c r="F45" s="48"/>
      <c r="G45" s="26">
        <f t="shared" ca="1" si="4"/>
        <v>19.2</v>
      </c>
      <c r="H45" s="26">
        <f t="shared" ca="1" si="1"/>
        <v>0</v>
      </c>
      <c r="J45" s="14">
        <v>1.07</v>
      </c>
      <c r="K45" s="15">
        <v>0</v>
      </c>
    </row>
    <row r="46" spans="1:12" s="14" customFormat="1" ht="15" hidden="1" x14ac:dyDescent="0.2">
      <c r="A46" s="36" t="s">
        <v>54</v>
      </c>
      <c r="B46" s="37" t="s">
        <v>44</v>
      </c>
      <c r="C46" s="26"/>
      <c r="D46" s="38">
        <f t="shared" ca="1" si="2"/>
        <v>49234.559999999998</v>
      </c>
      <c r="E46" s="26">
        <f t="shared" ca="1" si="3"/>
        <v>19.2</v>
      </c>
      <c r="F46" s="48"/>
      <c r="G46" s="26">
        <f t="shared" ca="1" si="4"/>
        <v>19.2</v>
      </c>
      <c r="H46" s="26">
        <f t="shared" ca="1" si="1"/>
        <v>0</v>
      </c>
      <c r="J46" s="14">
        <v>1.07</v>
      </c>
      <c r="K46" s="15">
        <v>0</v>
      </c>
    </row>
    <row r="47" spans="1:12" s="14" customFormat="1" ht="28.5" x14ac:dyDescent="0.2">
      <c r="A47" s="46" t="s">
        <v>55</v>
      </c>
      <c r="B47" s="49" t="s">
        <v>56</v>
      </c>
      <c r="C47" s="26">
        <f>F47*12</f>
        <v>0</v>
      </c>
      <c r="D47" s="38">
        <f t="shared" si="2"/>
        <v>116008.93</v>
      </c>
      <c r="E47" s="26">
        <f t="shared" si="3"/>
        <v>45.24</v>
      </c>
      <c r="F47" s="48"/>
      <c r="G47" s="26">
        <f t="shared" si="4"/>
        <v>45.24</v>
      </c>
      <c r="H47" s="26">
        <v>3.77</v>
      </c>
      <c r="I47" s="14">
        <v>2564.3000000000002</v>
      </c>
      <c r="J47" s="14">
        <v>1.07</v>
      </c>
      <c r="K47" s="15">
        <v>2.99</v>
      </c>
    </row>
    <row r="48" spans="1:12" s="22" customFormat="1" ht="30" x14ac:dyDescent="0.2">
      <c r="A48" s="46" t="s">
        <v>57</v>
      </c>
      <c r="B48" s="25" t="s">
        <v>13</v>
      </c>
      <c r="C48" s="50"/>
      <c r="D48" s="38">
        <f>2042.21*I48/L48</f>
        <v>1719.59</v>
      </c>
      <c r="E48" s="50"/>
      <c r="F48" s="48"/>
      <c r="G48" s="26">
        <f t="shared" ref="G48:G53" si="5">D48/I48</f>
        <v>0.67</v>
      </c>
      <c r="H48" s="26">
        <f t="shared" si="1"/>
        <v>0.06</v>
      </c>
      <c r="I48" s="14">
        <v>2564.3000000000002</v>
      </c>
      <c r="J48" s="14">
        <v>1.07</v>
      </c>
      <c r="K48" s="15">
        <v>0.04</v>
      </c>
      <c r="L48" s="22">
        <v>3045.4</v>
      </c>
    </row>
    <row r="49" spans="1:14" s="22" customFormat="1" ht="30.75" customHeight="1" x14ac:dyDescent="0.2">
      <c r="A49" s="46" t="s">
        <v>58</v>
      </c>
      <c r="B49" s="25" t="s">
        <v>13</v>
      </c>
      <c r="C49" s="50"/>
      <c r="D49" s="38">
        <f>2042.21*I49/L49</f>
        <v>1719.59</v>
      </c>
      <c r="E49" s="50"/>
      <c r="F49" s="48"/>
      <c r="G49" s="26">
        <f t="shared" si="5"/>
        <v>0.67</v>
      </c>
      <c r="H49" s="26">
        <f t="shared" si="1"/>
        <v>0.06</v>
      </c>
      <c r="I49" s="14">
        <v>2564.3000000000002</v>
      </c>
      <c r="J49" s="14">
        <v>1.07</v>
      </c>
      <c r="K49" s="15">
        <v>0.04</v>
      </c>
      <c r="L49" s="22">
        <v>3045.4</v>
      </c>
    </row>
    <row r="50" spans="1:14" s="22" customFormat="1" ht="18.75" customHeight="1" x14ac:dyDescent="0.2">
      <c r="A50" s="46" t="s">
        <v>59</v>
      </c>
      <c r="B50" s="25" t="s">
        <v>13</v>
      </c>
      <c r="C50" s="50"/>
      <c r="D50" s="38">
        <f>12896.1*I50/L50</f>
        <v>10858.83</v>
      </c>
      <c r="E50" s="50"/>
      <c r="F50" s="48"/>
      <c r="G50" s="26">
        <f t="shared" si="5"/>
        <v>4.2300000000000004</v>
      </c>
      <c r="H50" s="26">
        <f t="shared" si="1"/>
        <v>0.35</v>
      </c>
      <c r="I50" s="14">
        <v>2564.3000000000002</v>
      </c>
      <c r="J50" s="14">
        <v>1.07</v>
      </c>
      <c r="K50" s="15">
        <v>0.28000000000000003</v>
      </c>
      <c r="L50" s="22">
        <v>3045.4</v>
      </c>
    </row>
    <row r="51" spans="1:14" s="22" customFormat="1" ht="30" hidden="1" x14ac:dyDescent="0.2">
      <c r="A51" s="46" t="s">
        <v>60</v>
      </c>
      <c r="B51" s="25" t="s">
        <v>28</v>
      </c>
      <c r="C51" s="50"/>
      <c r="D51" s="38">
        <f ca="1">G51*I51</f>
        <v>0</v>
      </c>
      <c r="E51" s="50"/>
      <c r="F51" s="48"/>
      <c r="G51" s="26">
        <f t="shared" ca="1" si="5"/>
        <v>3.59</v>
      </c>
      <c r="H51" s="26">
        <f t="shared" ca="1" si="1"/>
        <v>0.3</v>
      </c>
      <c r="I51" s="14">
        <v>2564.3000000000002</v>
      </c>
      <c r="J51" s="14">
        <v>1.07</v>
      </c>
      <c r="K51" s="15">
        <v>0</v>
      </c>
    </row>
    <row r="52" spans="1:14" s="22" customFormat="1" ht="30" hidden="1" x14ac:dyDescent="0.2">
      <c r="A52" s="46" t="s">
        <v>61</v>
      </c>
      <c r="B52" s="25" t="s">
        <v>28</v>
      </c>
      <c r="C52" s="50"/>
      <c r="D52" s="38">
        <f ca="1">G52*I52</f>
        <v>0</v>
      </c>
      <c r="E52" s="50"/>
      <c r="F52" s="48"/>
      <c r="G52" s="26">
        <f t="shared" ca="1" si="5"/>
        <v>3.59</v>
      </c>
      <c r="H52" s="26">
        <f t="shared" ca="1" si="1"/>
        <v>0.3</v>
      </c>
      <c r="I52" s="14">
        <v>2564.3000000000002</v>
      </c>
      <c r="J52" s="14">
        <v>1.07</v>
      </c>
      <c r="K52" s="15">
        <v>0</v>
      </c>
    </row>
    <row r="53" spans="1:14" s="22" customFormat="1" ht="30" hidden="1" x14ac:dyDescent="0.2">
      <c r="A53" s="46" t="s">
        <v>62</v>
      </c>
      <c r="B53" s="25" t="s">
        <v>28</v>
      </c>
      <c r="C53" s="50"/>
      <c r="D53" s="38">
        <f ca="1">G53*I53</f>
        <v>0</v>
      </c>
      <c r="E53" s="50"/>
      <c r="F53" s="48"/>
      <c r="G53" s="26">
        <f t="shared" ca="1" si="5"/>
        <v>3.59</v>
      </c>
      <c r="H53" s="26">
        <f t="shared" ca="1" si="1"/>
        <v>0.3</v>
      </c>
      <c r="I53" s="14">
        <v>2564.3000000000002</v>
      </c>
      <c r="J53" s="14">
        <v>1.07</v>
      </c>
      <c r="K53" s="15">
        <v>0</v>
      </c>
    </row>
    <row r="54" spans="1:14" s="22" customFormat="1" ht="30" x14ac:dyDescent="0.2">
      <c r="A54" s="46" t="s">
        <v>63</v>
      </c>
      <c r="B54" s="25"/>
      <c r="C54" s="50">
        <f>F54*12</f>
        <v>0</v>
      </c>
      <c r="D54" s="38">
        <f>G54*I54</f>
        <v>6462.04</v>
      </c>
      <c r="E54" s="50">
        <f>H54*12</f>
        <v>2.52</v>
      </c>
      <c r="F54" s="48"/>
      <c r="G54" s="26">
        <f>H54*12</f>
        <v>2.52</v>
      </c>
      <c r="H54" s="26">
        <v>0.21</v>
      </c>
      <c r="I54" s="14">
        <v>2564.3000000000002</v>
      </c>
      <c r="J54" s="14">
        <v>1.07</v>
      </c>
      <c r="K54" s="15">
        <v>0.14000000000000001</v>
      </c>
    </row>
    <row r="55" spans="1:14" s="14" customFormat="1" ht="15" x14ac:dyDescent="0.2">
      <c r="A55" s="46" t="s">
        <v>64</v>
      </c>
      <c r="B55" s="25" t="s">
        <v>65</v>
      </c>
      <c r="C55" s="50">
        <f>F55*12</f>
        <v>0</v>
      </c>
      <c r="D55" s="38">
        <f>G55*I55</f>
        <v>1846.3</v>
      </c>
      <c r="E55" s="50">
        <f>H55*12</f>
        <v>0.72</v>
      </c>
      <c r="F55" s="48"/>
      <c r="G55" s="26">
        <f>H55*12</f>
        <v>0.72</v>
      </c>
      <c r="H55" s="26">
        <v>0.06</v>
      </c>
      <c r="I55" s="14">
        <v>2564.3000000000002</v>
      </c>
      <c r="J55" s="14">
        <v>1.07</v>
      </c>
      <c r="K55" s="15">
        <v>0.03</v>
      </c>
      <c r="L55" s="14">
        <v>3045.4</v>
      </c>
    </row>
    <row r="56" spans="1:14" s="14" customFormat="1" ht="15" x14ac:dyDescent="0.2">
      <c r="A56" s="46" t="s">
        <v>66</v>
      </c>
      <c r="B56" s="51" t="s">
        <v>67</v>
      </c>
      <c r="C56" s="52">
        <f>F56*12</f>
        <v>0</v>
      </c>
      <c r="D56" s="38">
        <f t="shared" ref="D56:D57" si="6">G56*I56</f>
        <v>1230.8599999999999</v>
      </c>
      <c r="E56" s="50">
        <f t="shared" ref="E56:E57" si="7">H56*12</f>
        <v>0.48</v>
      </c>
      <c r="F56" s="48"/>
      <c r="G56" s="26">
        <f t="shared" ref="G56:G57" si="8">H56*12</f>
        <v>0.48</v>
      </c>
      <c r="H56" s="26">
        <v>0.04</v>
      </c>
      <c r="I56" s="14">
        <v>2564.3000000000002</v>
      </c>
      <c r="J56" s="14">
        <v>1.07</v>
      </c>
      <c r="K56" s="15">
        <v>0.02</v>
      </c>
      <c r="L56" s="14">
        <v>3045.4</v>
      </c>
    </row>
    <row r="57" spans="1:14" s="47" customFormat="1" ht="30" x14ac:dyDescent="0.2">
      <c r="A57" s="46" t="s">
        <v>68</v>
      </c>
      <c r="B57" s="25" t="s">
        <v>69</v>
      </c>
      <c r="C57" s="50">
        <f>F57*12</f>
        <v>0</v>
      </c>
      <c r="D57" s="38">
        <f t="shared" si="6"/>
        <v>1538.58</v>
      </c>
      <c r="E57" s="50">
        <f t="shared" si="7"/>
        <v>0.6</v>
      </c>
      <c r="F57" s="48"/>
      <c r="G57" s="26">
        <f t="shared" si="8"/>
        <v>0.6</v>
      </c>
      <c r="H57" s="26">
        <v>0.05</v>
      </c>
      <c r="I57" s="14">
        <v>2564.3000000000002</v>
      </c>
      <c r="J57" s="14">
        <v>1.07</v>
      </c>
      <c r="K57" s="15">
        <v>0.03</v>
      </c>
      <c r="L57" s="47">
        <v>3045.4</v>
      </c>
    </row>
    <row r="58" spans="1:14" s="47" customFormat="1" ht="15" x14ac:dyDescent="0.2">
      <c r="A58" s="46" t="s">
        <v>70</v>
      </c>
      <c r="B58" s="25"/>
      <c r="C58" s="26"/>
      <c r="D58" s="26">
        <f>D60+D61+D62+D63+D64+D65+D66+D67+D69+D68</f>
        <v>20459.03</v>
      </c>
      <c r="E58" s="26" t="e">
        <f>E60+E61+#REF!+E63+E64+E65+E66+E67+E68+E69+#REF!+#REF!</f>
        <v>#REF!</v>
      </c>
      <c r="F58" s="26" t="e">
        <f>F60+F61+#REF!+F63+F64+F65+F66+F67+F68+F69+#REF!+#REF!</f>
        <v>#REF!</v>
      </c>
      <c r="G58" s="26">
        <f>D58/I58</f>
        <v>7.98</v>
      </c>
      <c r="H58" s="26">
        <f>G58/12</f>
        <v>0.67</v>
      </c>
      <c r="I58" s="14">
        <v>2564.3000000000002</v>
      </c>
      <c r="J58" s="14">
        <v>1.07</v>
      </c>
      <c r="K58" s="15">
        <v>0.71</v>
      </c>
    </row>
    <row r="59" spans="1:14" s="22" customFormat="1" ht="15" hidden="1" x14ac:dyDescent="0.2">
      <c r="A59" s="53"/>
      <c r="B59" s="37"/>
      <c r="C59" s="54"/>
      <c r="D59" s="55"/>
      <c r="E59" s="54"/>
      <c r="F59" s="56"/>
      <c r="G59" s="54"/>
      <c r="H59" s="54"/>
      <c r="I59" s="14"/>
      <c r="J59" s="14"/>
      <c r="K59" s="15"/>
      <c r="M59" s="47"/>
      <c r="N59" s="47"/>
    </row>
    <row r="60" spans="1:14" s="22" customFormat="1" ht="15" x14ac:dyDescent="0.2">
      <c r="A60" s="53" t="s">
        <v>71</v>
      </c>
      <c r="B60" s="37" t="s">
        <v>51</v>
      </c>
      <c r="C60" s="54"/>
      <c r="D60" s="55">
        <f>325.83*I60/L60</f>
        <v>274.36</v>
      </c>
      <c r="E60" s="54"/>
      <c r="F60" s="56"/>
      <c r="G60" s="54"/>
      <c r="H60" s="54"/>
      <c r="I60" s="14">
        <v>2564.3000000000002</v>
      </c>
      <c r="J60" s="14">
        <v>1.07</v>
      </c>
      <c r="K60" s="15">
        <v>0.01</v>
      </c>
      <c r="L60" s="22">
        <v>3045.4</v>
      </c>
      <c r="M60" s="47"/>
      <c r="N60" s="47"/>
    </row>
    <row r="61" spans="1:14" s="22" customFormat="1" ht="15" x14ac:dyDescent="0.2">
      <c r="A61" s="53" t="s">
        <v>72</v>
      </c>
      <c r="B61" s="37" t="s">
        <v>53</v>
      </c>
      <c r="C61" s="54">
        <f>F61*12</f>
        <v>0</v>
      </c>
      <c r="D61" s="55">
        <f>918.96*I61/L61</f>
        <v>773.79</v>
      </c>
      <c r="E61" s="54">
        <f>H61*12</f>
        <v>0</v>
      </c>
      <c r="F61" s="56"/>
      <c r="G61" s="54"/>
      <c r="H61" s="54"/>
      <c r="I61" s="14">
        <v>2564.3000000000002</v>
      </c>
      <c r="J61" s="14">
        <v>1.07</v>
      </c>
      <c r="K61" s="15">
        <v>0.01</v>
      </c>
      <c r="L61" s="22">
        <v>3045.4</v>
      </c>
      <c r="M61" s="47"/>
      <c r="N61" s="47"/>
    </row>
    <row r="62" spans="1:14" s="22" customFormat="1" ht="15" x14ac:dyDescent="0.2">
      <c r="A62" s="53" t="s">
        <v>132</v>
      </c>
      <c r="B62" s="60" t="s">
        <v>51</v>
      </c>
      <c r="C62" s="54"/>
      <c r="D62" s="55">
        <f>1637.48*I62/L62</f>
        <v>1378.8</v>
      </c>
      <c r="E62" s="54"/>
      <c r="F62" s="56"/>
      <c r="G62" s="54"/>
      <c r="H62" s="54"/>
      <c r="I62" s="14">
        <v>2564.3000000000002</v>
      </c>
      <c r="J62" s="14"/>
      <c r="K62" s="15"/>
      <c r="L62" s="22">
        <v>3045.4</v>
      </c>
      <c r="M62" s="47"/>
      <c r="N62" s="47"/>
    </row>
    <row r="63" spans="1:14" s="22" customFormat="1" ht="15" x14ac:dyDescent="0.2">
      <c r="A63" s="53" t="s">
        <v>73</v>
      </c>
      <c r="B63" s="37" t="s">
        <v>51</v>
      </c>
      <c r="C63" s="54">
        <f>F63*12</f>
        <v>0</v>
      </c>
      <c r="D63" s="55">
        <f>1751.22*I63/L63</f>
        <v>1474.57</v>
      </c>
      <c r="E63" s="54">
        <f>H63*12</f>
        <v>0</v>
      </c>
      <c r="F63" s="56"/>
      <c r="G63" s="54"/>
      <c r="H63" s="54"/>
      <c r="I63" s="14">
        <v>2564.3000000000002</v>
      </c>
      <c r="J63" s="14">
        <v>1.07</v>
      </c>
      <c r="K63" s="15">
        <v>0.02</v>
      </c>
      <c r="L63" s="22">
        <v>3045.4</v>
      </c>
      <c r="M63" s="47"/>
      <c r="N63" s="47"/>
    </row>
    <row r="64" spans="1:14" s="22" customFormat="1" ht="15" x14ac:dyDescent="0.2">
      <c r="A64" s="53" t="s">
        <v>74</v>
      </c>
      <c r="B64" s="37" t="s">
        <v>51</v>
      </c>
      <c r="C64" s="54">
        <f>F64*12</f>
        <v>0</v>
      </c>
      <c r="D64" s="55">
        <f>5855.59*I64/L64</f>
        <v>4930.55</v>
      </c>
      <c r="E64" s="54">
        <f>H64*12</f>
        <v>0</v>
      </c>
      <c r="F64" s="56"/>
      <c r="G64" s="54"/>
      <c r="H64" s="54"/>
      <c r="I64" s="14">
        <v>2564.3000000000002</v>
      </c>
      <c r="J64" s="14">
        <v>1.07</v>
      </c>
      <c r="K64" s="15">
        <v>0.1</v>
      </c>
      <c r="L64" s="22">
        <v>3045.4</v>
      </c>
      <c r="M64" s="47"/>
      <c r="N64" s="47"/>
    </row>
    <row r="65" spans="1:14" s="22" customFormat="1" ht="15" x14ac:dyDescent="0.2">
      <c r="A65" s="53" t="s">
        <v>133</v>
      </c>
      <c r="B65" s="37" t="s">
        <v>51</v>
      </c>
      <c r="C65" s="54">
        <f>F65*12</f>
        <v>0</v>
      </c>
      <c r="D65" s="55">
        <f>918.95*I65/L65</f>
        <v>773.78</v>
      </c>
      <c r="E65" s="54">
        <f>H65*12</f>
        <v>0</v>
      </c>
      <c r="F65" s="56"/>
      <c r="G65" s="54"/>
      <c r="H65" s="54"/>
      <c r="I65" s="14">
        <v>2564.3000000000002</v>
      </c>
      <c r="J65" s="14">
        <v>1.07</v>
      </c>
      <c r="K65" s="15">
        <v>0.02</v>
      </c>
      <c r="L65" s="22">
        <v>3045.4</v>
      </c>
      <c r="M65" s="47"/>
      <c r="N65" s="47"/>
    </row>
    <row r="66" spans="1:14" s="22" customFormat="1" ht="15" x14ac:dyDescent="0.2">
      <c r="A66" s="53" t="s">
        <v>75</v>
      </c>
      <c r="B66" s="37" t="s">
        <v>51</v>
      </c>
      <c r="C66" s="54"/>
      <c r="D66" s="55">
        <f>437.79*I66/L66</f>
        <v>368.63</v>
      </c>
      <c r="E66" s="54"/>
      <c r="F66" s="56"/>
      <c r="G66" s="54"/>
      <c r="H66" s="54"/>
      <c r="I66" s="14">
        <v>2564.3000000000002</v>
      </c>
      <c r="J66" s="14">
        <v>1.07</v>
      </c>
      <c r="K66" s="15">
        <v>0.01</v>
      </c>
      <c r="L66" s="22">
        <v>3045.4</v>
      </c>
      <c r="M66" s="47"/>
      <c r="N66" s="47"/>
    </row>
    <row r="67" spans="1:14" s="22" customFormat="1" ht="15" x14ac:dyDescent="0.2">
      <c r="A67" s="53" t="s">
        <v>76</v>
      </c>
      <c r="B67" s="37" t="s">
        <v>53</v>
      </c>
      <c r="C67" s="54"/>
      <c r="D67" s="107">
        <f>3502.46*I67/L67</f>
        <v>2949.16</v>
      </c>
      <c r="E67" s="54"/>
      <c r="F67" s="56"/>
      <c r="G67" s="54"/>
      <c r="H67" s="54"/>
      <c r="I67" s="14">
        <v>2564.3000000000002</v>
      </c>
      <c r="J67" s="14">
        <v>1.07</v>
      </c>
      <c r="K67" s="15">
        <v>0.04</v>
      </c>
      <c r="L67" s="22">
        <v>3045.4</v>
      </c>
      <c r="M67" s="47"/>
      <c r="N67" s="47"/>
    </row>
    <row r="68" spans="1:14" s="22" customFormat="1" ht="25.5" x14ac:dyDescent="0.2">
      <c r="A68" s="53" t="s">
        <v>77</v>
      </c>
      <c r="B68" s="37" t="s">
        <v>51</v>
      </c>
      <c r="C68" s="54">
        <f>F68*12</f>
        <v>0</v>
      </c>
      <c r="D68" s="55">
        <f>2891.57*I68/L68</f>
        <v>2434.77</v>
      </c>
      <c r="E68" s="54">
        <f>H68*12</f>
        <v>0</v>
      </c>
      <c r="F68" s="56"/>
      <c r="G68" s="54"/>
      <c r="H68" s="54"/>
      <c r="I68" s="14">
        <v>2564.3000000000002</v>
      </c>
      <c r="J68" s="14">
        <v>1.07</v>
      </c>
      <c r="K68" s="15">
        <v>0.06</v>
      </c>
      <c r="L68" s="22">
        <v>3045.4</v>
      </c>
      <c r="M68" s="47"/>
      <c r="N68" s="47"/>
    </row>
    <row r="69" spans="1:14" s="22" customFormat="1" ht="15" x14ac:dyDescent="0.2">
      <c r="A69" s="53" t="s">
        <v>78</v>
      </c>
      <c r="B69" s="37" t="s">
        <v>51</v>
      </c>
      <c r="C69" s="54"/>
      <c r="D69" s="55">
        <f>6057.57*I69/L69</f>
        <v>5100.62</v>
      </c>
      <c r="E69" s="54"/>
      <c r="F69" s="56"/>
      <c r="G69" s="54"/>
      <c r="H69" s="54"/>
      <c r="I69" s="14">
        <v>2564.3000000000002</v>
      </c>
      <c r="J69" s="14">
        <v>1.07</v>
      </c>
      <c r="K69" s="15">
        <v>0.01</v>
      </c>
      <c r="L69" s="22">
        <v>3045.4</v>
      </c>
      <c r="M69" s="47"/>
      <c r="N69" s="47"/>
    </row>
    <row r="70" spans="1:14" s="22" customFormat="1" ht="15" hidden="1" x14ac:dyDescent="0.2">
      <c r="A70" s="53"/>
      <c r="B70" s="37"/>
      <c r="C70" s="59"/>
      <c r="D70" s="55"/>
      <c r="E70" s="59"/>
      <c r="F70" s="56"/>
      <c r="G70" s="54"/>
      <c r="H70" s="54"/>
      <c r="I70" s="14"/>
      <c r="J70" s="14"/>
      <c r="K70" s="15"/>
      <c r="M70" s="47"/>
      <c r="N70" s="47"/>
    </row>
    <row r="71" spans="1:14" s="22" customFormat="1" ht="15" hidden="1" x14ac:dyDescent="0.2">
      <c r="A71" s="53"/>
      <c r="B71" s="37"/>
      <c r="C71" s="54"/>
      <c r="D71" s="55"/>
      <c r="E71" s="54"/>
      <c r="F71" s="56"/>
      <c r="G71" s="54"/>
      <c r="H71" s="54"/>
      <c r="I71" s="14"/>
      <c r="J71" s="14"/>
      <c r="K71" s="15"/>
      <c r="M71" s="47"/>
      <c r="N71" s="47"/>
    </row>
    <row r="72" spans="1:14" s="47" customFormat="1" ht="30" x14ac:dyDescent="0.2">
      <c r="A72" s="46" t="s">
        <v>79</v>
      </c>
      <c r="B72" s="25"/>
      <c r="C72" s="26"/>
      <c r="D72" s="26">
        <f>D74+D75+D80</f>
        <v>23608.86</v>
      </c>
      <c r="E72" s="26" t="e">
        <f>#REF!+#REF!+E75+#REF!+#REF!+#REF!+E80</f>
        <v>#REF!</v>
      </c>
      <c r="F72" s="26" t="e">
        <f>#REF!+#REF!+F75+#REF!+#REF!+#REF!+F80</f>
        <v>#REF!</v>
      </c>
      <c r="G72" s="26">
        <f>D72/I72</f>
        <v>9.2100000000000009</v>
      </c>
      <c r="H72" s="26">
        <f>G72/12</f>
        <v>0.77</v>
      </c>
      <c r="I72" s="14">
        <v>2564.3000000000002</v>
      </c>
      <c r="J72" s="14">
        <v>1.07</v>
      </c>
      <c r="K72" s="15">
        <v>0.85</v>
      </c>
    </row>
    <row r="73" spans="1:14" s="22" customFormat="1" ht="25.5" hidden="1" x14ac:dyDescent="0.2">
      <c r="A73" s="53" t="s">
        <v>80</v>
      </c>
      <c r="B73" s="60" t="s">
        <v>51</v>
      </c>
      <c r="C73" s="54"/>
      <c r="D73" s="55"/>
      <c r="E73" s="54"/>
      <c r="F73" s="56"/>
      <c r="G73" s="54"/>
      <c r="H73" s="54"/>
      <c r="I73" s="14">
        <v>3045.4</v>
      </c>
      <c r="J73" s="14">
        <v>1.07</v>
      </c>
      <c r="K73" s="15">
        <v>0.04</v>
      </c>
      <c r="M73" s="47"/>
      <c r="N73" s="47"/>
    </row>
    <row r="74" spans="1:14" s="22" customFormat="1" ht="15" x14ac:dyDescent="0.2">
      <c r="A74" s="53" t="s">
        <v>157</v>
      </c>
      <c r="B74" s="60" t="s">
        <v>53</v>
      </c>
      <c r="C74" s="54"/>
      <c r="D74" s="55">
        <f>(9865*2)*I74/L74</f>
        <v>16613.13</v>
      </c>
      <c r="E74" s="54"/>
      <c r="F74" s="56"/>
      <c r="G74" s="54"/>
      <c r="H74" s="54"/>
      <c r="I74" s="14">
        <v>2564.3000000000002</v>
      </c>
      <c r="J74" s="14"/>
      <c r="K74" s="15"/>
      <c r="L74" s="22">
        <v>3045.4</v>
      </c>
      <c r="M74" s="47"/>
      <c r="N74" s="47"/>
    </row>
    <row r="75" spans="1:14" s="22" customFormat="1" ht="25.5" x14ac:dyDescent="0.2">
      <c r="A75" s="53" t="s">
        <v>81</v>
      </c>
      <c r="B75" s="37" t="s">
        <v>82</v>
      </c>
      <c r="C75" s="54"/>
      <c r="D75" s="55">
        <v>1751.2</v>
      </c>
      <c r="E75" s="54"/>
      <c r="F75" s="56"/>
      <c r="G75" s="54"/>
      <c r="H75" s="54"/>
      <c r="I75" s="14">
        <v>2564.3000000000002</v>
      </c>
      <c r="J75" s="14">
        <v>1.07</v>
      </c>
      <c r="K75" s="15">
        <v>0.04</v>
      </c>
      <c r="M75" s="47"/>
      <c r="N75" s="47"/>
    </row>
    <row r="76" spans="1:14" s="22" customFormat="1" ht="15" hidden="1" x14ac:dyDescent="0.2">
      <c r="A76" s="53" t="s">
        <v>83</v>
      </c>
      <c r="B76" s="37" t="s">
        <v>84</v>
      </c>
      <c r="C76" s="54"/>
      <c r="D76" s="55"/>
      <c r="E76" s="54"/>
      <c r="F76" s="56"/>
      <c r="G76" s="54"/>
      <c r="H76" s="54"/>
      <c r="I76" s="14">
        <v>2564.3000000000002</v>
      </c>
      <c r="J76" s="14">
        <v>1.07</v>
      </c>
      <c r="K76" s="15">
        <v>0</v>
      </c>
      <c r="M76" s="47"/>
      <c r="N76" s="47"/>
    </row>
    <row r="77" spans="1:14" s="22" customFormat="1" ht="15" hidden="1" x14ac:dyDescent="0.2">
      <c r="A77" s="53" t="s">
        <v>85</v>
      </c>
      <c r="B77" s="37" t="s">
        <v>51</v>
      </c>
      <c r="C77" s="54"/>
      <c r="D77" s="55"/>
      <c r="E77" s="54"/>
      <c r="F77" s="56"/>
      <c r="G77" s="54"/>
      <c r="H77" s="54"/>
      <c r="I77" s="14">
        <v>2564.3000000000002</v>
      </c>
      <c r="J77" s="14">
        <v>1.07</v>
      </c>
      <c r="K77" s="15">
        <v>0</v>
      </c>
      <c r="M77" s="47"/>
      <c r="N77" s="47"/>
    </row>
    <row r="78" spans="1:14" s="22" customFormat="1" ht="25.5" hidden="1" x14ac:dyDescent="0.2">
      <c r="A78" s="53" t="s">
        <v>86</v>
      </c>
      <c r="B78" s="37" t="s">
        <v>51</v>
      </c>
      <c r="C78" s="54"/>
      <c r="D78" s="55"/>
      <c r="E78" s="54"/>
      <c r="F78" s="56"/>
      <c r="G78" s="54"/>
      <c r="H78" s="54"/>
      <c r="I78" s="14">
        <v>2564.3000000000002</v>
      </c>
      <c r="J78" s="14">
        <v>1.07</v>
      </c>
      <c r="K78" s="15">
        <v>0</v>
      </c>
      <c r="M78" s="47"/>
      <c r="N78" s="47"/>
    </row>
    <row r="79" spans="1:14" s="22" customFormat="1" ht="25.5" hidden="1" x14ac:dyDescent="0.2">
      <c r="A79" s="53" t="s">
        <v>87</v>
      </c>
      <c r="B79" s="37" t="s">
        <v>28</v>
      </c>
      <c r="C79" s="54"/>
      <c r="D79" s="55">
        <f>G79*I79</f>
        <v>0</v>
      </c>
      <c r="E79" s="54"/>
      <c r="F79" s="56"/>
      <c r="G79" s="54"/>
      <c r="H79" s="54"/>
      <c r="I79" s="14">
        <v>3045.4</v>
      </c>
      <c r="J79" s="14">
        <v>1.07</v>
      </c>
      <c r="K79" s="15">
        <v>0.27</v>
      </c>
      <c r="M79" s="47"/>
      <c r="N79" s="47"/>
    </row>
    <row r="80" spans="1:14" s="22" customFormat="1" ht="15" x14ac:dyDescent="0.2">
      <c r="A80" s="53" t="s">
        <v>88</v>
      </c>
      <c r="B80" s="37" t="s">
        <v>13</v>
      </c>
      <c r="C80" s="59"/>
      <c r="D80" s="55">
        <f>6228.48*I80/L80</f>
        <v>5244.53</v>
      </c>
      <c r="E80" s="59"/>
      <c r="F80" s="56"/>
      <c r="G80" s="54"/>
      <c r="H80" s="54"/>
      <c r="I80" s="14">
        <v>2564.3000000000002</v>
      </c>
      <c r="J80" s="14">
        <v>1.07</v>
      </c>
      <c r="K80" s="15">
        <v>0.14000000000000001</v>
      </c>
      <c r="L80" s="22">
        <v>3045.4</v>
      </c>
      <c r="M80" s="47"/>
      <c r="N80" s="47"/>
    </row>
    <row r="81" spans="1:14" s="68" customFormat="1" ht="15" hidden="1" x14ac:dyDescent="0.2">
      <c r="A81" s="62" t="s">
        <v>89</v>
      </c>
      <c r="B81" s="63" t="s">
        <v>51</v>
      </c>
      <c r="C81" s="64"/>
      <c r="D81" s="65">
        <f>G81*I81</f>
        <v>0</v>
      </c>
      <c r="E81" s="64"/>
      <c r="F81" s="66"/>
      <c r="G81" s="64">
        <f>H81*12</f>
        <v>0</v>
      </c>
      <c r="H81" s="64">
        <v>0</v>
      </c>
      <c r="I81" s="67">
        <v>3045.4</v>
      </c>
      <c r="J81" s="14">
        <v>1.07</v>
      </c>
      <c r="K81" s="15">
        <v>0</v>
      </c>
      <c r="M81" s="47"/>
      <c r="N81" s="47"/>
    </row>
    <row r="82" spans="1:14" s="22" customFormat="1" ht="30" x14ac:dyDescent="0.2">
      <c r="A82" s="46" t="s">
        <v>90</v>
      </c>
      <c r="B82" s="37"/>
      <c r="C82" s="54"/>
      <c r="D82" s="26">
        <v>0</v>
      </c>
      <c r="E82" s="26" t="e">
        <f>#REF!+#REF!+#REF!</f>
        <v>#REF!</v>
      </c>
      <c r="F82" s="26" t="e">
        <f>#REF!+#REF!+#REF!</f>
        <v>#REF!</v>
      </c>
      <c r="G82" s="26">
        <f>D82/I82</f>
        <v>0</v>
      </c>
      <c r="H82" s="26">
        <f>G82/12</f>
        <v>0</v>
      </c>
      <c r="I82" s="14">
        <v>2564.3000000000002</v>
      </c>
      <c r="J82" s="14">
        <v>1.07</v>
      </c>
      <c r="K82" s="15">
        <v>0.41</v>
      </c>
      <c r="M82" s="47"/>
      <c r="N82" s="47"/>
    </row>
    <row r="83" spans="1:14" s="22" customFormat="1" ht="15" x14ac:dyDescent="0.2">
      <c r="A83" s="46" t="s">
        <v>92</v>
      </c>
      <c r="B83" s="37"/>
      <c r="C83" s="54"/>
      <c r="D83" s="26">
        <f>D85+D86+D92+D93</f>
        <v>33060.5</v>
      </c>
      <c r="E83" s="26">
        <f>E85+E86</f>
        <v>0</v>
      </c>
      <c r="F83" s="26">
        <f>F85+F86</f>
        <v>0</v>
      </c>
      <c r="G83" s="26">
        <f>D83/I83</f>
        <v>12.89</v>
      </c>
      <c r="H83" s="26">
        <f>G83/12</f>
        <v>1.07</v>
      </c>
      <c r="I83" s="14">
        <v>2564.3000000000002</v>
      </c>
      <c r="J83" s="14">
        <v>1.07</v>
      </c>
      <c r="K83" s="15">
        <v>0.18</v>
      </c>
      <c r="M83" s="47"/>
      <c r="N83" s="47"/>
    </row>
    <row r="84" spans="1:14" s="22" customFormat="1" ht="15" hidden="1" x14ac:dyDescent="0.2">
      <c r="A84" s="53" t="s">
        <v>93</v>
      </c>
      <c r="B84" s="37" t="s">
        <v>13</v>
      </c>
      <c r="C84" s="54"/>
      <c r="D84" s="55">
        <f t="shared" ref="D84:D91" si="9">G84*I84</f>
        <v>0</v>
      </c>
      <c r="E84" s="54"/>
      <c r="F84" s="56"/>
      <c r="G84" s="54">
        <f t="shared" ref="G84:G91" si="10">H84*12</f>
        <v>0</v>
      </c>
      <c r="H84" s="54">
        <v>0</v>
      </c>
      <c r="I84" s="14">
        <v>2564.3000000000002</v>
      </c>
      <c r="J84" s="14">
        <v>1.07</v>
      </c>
      <c r="K84" s="15">
        <v>0</v>
      </c>
      <c r="M84" s="47"/>
      <c r="N84" s="47"/>
    </row>
    <row r="85" spans="1:14" s="22" customFormat="1" ht="15" x14ac:dyDescent="0.2">
      <c r="A85" s="53" t="s">
        <v>94</v>
      </c>
      <c r="B85" s="37" t="s">
        <v>51</v>
      </c>
      <c r="C85" s="54"/>
      <c r="D85" s="55">
        <v>6305.2</v>
      </c>
      <c r="E85" s="54"/>
      <c r="F85" s="56"/>
      <c r="G85" s="54"/>
      <c r="H85" s="54"/>
      <c r="I85" s="14">
        <v>2564.3000000000002</v>
      </c>
      <c r="J85" s="14">
        <v>1.07</v>
      </c>
      <c r="K85" s="15">
        <v>0.16</v>
      </c>
      <c r="M85" s="47"/>
      <c r="N85" s="47"/>
    </row>
    <row r="86" spans="1:14" s="22" customFormat="1" ht="15" x14ac:dyDescent="0.2">
      <c r="A86" s="53" t="s">
        <v>95</v>
      </c>
      <c r="B86" s="37" t="s">
        <v>51</v>
      </c>
      <c r="C86" s="54"/>
      <c r="D86" s="55">
        <f>915.28*I86/L86</f>
        <v>770.69</v>
      </c>
      <c r="E86" s="54"/>
      <c r="F86" s="56"/>
      <c r="G86" s="54"/>
      <c r="H86" s="54"/>
      <c r="I86" s="14">
        <v>2564.3000000000002</v>
      </c>
      <c r="J86" s="14">
        <v>1.07</v>
      </c>
      <c r="K86" s="15">
        <v>0.02</v>
      </c>
      <c r="L86" s="22">
        <v>3045.4</v>
      </c>
      <c r="M86" s="47"/>
      <c r="N86" s="47"/>
    </row>
    <row r="87" spans="1:14" s="22" customFormat="1" ht="27.75" hidden="1" customHeight="1" x14ac:dyDescent="0.2">
      <c r="A87" s="53" t="s">
        <v>96</v>
      </c>
      <c r="B87" s="37" t="s">
        <v>28</v>
      </c>
      <c r="C87" s="54"/>
      <c r="D87" s="55">
        <f t="shared" si="9"/>
        <v>0</v>
      </c>
      <c r="E87" s="54"/>
      <c r="F87" s="56"/>
      <c r="G87" s="54">
        <f t="shared" si="10"/>
        <v>0</v>
      </c>
      <c r="H87" s="54">
        <v>0</v>
      </c>
      <c r="I87" s="14">
        <v>2564.3000000000002</v>
      </c>
      <c r="J87" s="14">
        <v>1.07</v>
      </c>
      <c r="K87" s="15">
        <v>0</v>
      </c>
      <c r="M87" s="47"/>
      <c r="N87" s="47"/>
    </row>
    <row r="88" spans="1:14" s="22" customFormat="1" ht="25.5" hidden="1" x14ac:dyDescent="0.2">
      <c r="A88" s="53" t="s">
        <v>97</v>
      </c>
      <c r="B88" s="37" t="s">
        <v>28</v>
      </c>
      <c r="C88" s="54"/>
      <c r="D88" s="55">
        <f t="shared" si="9"/>
        <v>0</v>
      </c>
      <c r="E88" s="54"/>
      <c r="F88" s="56"/>
      <c r="G88" s="54">
        <f t="shared" si="10"/>
        <v>0</v>
      </c>
      <c r="H88" s="54">
        <v>0</v>
      </c>
      <c r="I88" s="14">
        <v>2564.3000000000002</v>
      </c>
      <c r="J88" s="14">
        <v>1.07</v>
      </c>
      <c r="K88" s="15">
        <v>0</v>
      </c>
      <c r="M88" s="47"/>
      <c r="N88" s="47"/>
    </row>
    <row r="89" spans="1:14" s="22" customFormat="1" ht="25.5" hidden="1" x14ac:dyDescent="0.2">
      <c r="A89" s="53" t="s">
        <v>98</v>
      </c>
      <c r="B89" s="37" t="s">
        <v>28</v>
      </c>
      <c r="C89" s="54"/>
      <c r="D89" s="55">
        <f t="shared" si="9"/>
        <v>0</v>
      </c>
      <c r="E89" s="54"/>
      <c r="F89" s="56"/>
      <c r="G89" s="54">
        <f t="shared" si="10"/>
        <v>0</v>
      </c>
      <c r="H89" s="54">
        <v>0</v>
      </c>
      <c r="I89" s="14">
        <v>2564.3000000000002</v>
      </c>
      <c r="J89" s="14">
        <v>1.07</v>
      </c>
      <c r="K89" s="15">
        <v>0</v>
      </c>
      <c r="M89" s="47"/>
      <c r="N89" s="47"/>
    </row>
    <row r="90" spans="1:14" s="22" customFormat="1" ht="25.5" hidden="1" x14ac:dyDescent="0.2">
      <c r="A90" s="53" t="s">
        <v>99</v>
      </c>
      <c r="B90" s="37" t="s">
        <v>28</v>
      </c>
      <c r="C90" s="54"/>
      <c r="D90" s="55">
        <f t="shared" si="9"/>
        <v>0</v>
      </c>
      <c r="E90" s="54"/>
      <c r="F90" s="56"/>
      <c r="G90" s="54">
        <f t="shared" si="10"/>
        <v>0</v>
      </c>
      <c r="H90" s="54">
        <v>0</v>
      </c>
      <c r="I90" s="14">
        <v>2564.3000000000002</v>
      </c>
      <c r="J90" s="14">
        <v>1.07</v>
      </c>
      <c r="K90" s="15">
        <v>0</v>
      </c>
      <c r="M90" s="47"/>
      <c r="N90" s="47"/>
    </row>
    <row r="91" spans="1:14" s="22" customFormat="1" ht="25.5" hidden="1" x14ac:dyDescent="0.2">
      <c r="A91" s="53" t="s">
        <v>100</v>
      </c>
      <c r="B91" s="37" t="s">
        <v>28</v>
      </c>
      <c r="C91" s="54"/>
      <c r="D91" s="55">
        <f t="shared" si="9"/>
        <v>0</v>
      </c>
      <c r="E91" s="54"/>
      <c r="F91" s="56"/>
      <c r="G91" s="54">
        <f t="shared" si="10"/>
        <v>0</v>
      </c>
      <c r="H91" s="54">
        <v>0</v>
      </c>
      <c r="I91" s="14">
        <v>2564.3000000000002</v>
      </c>
      <c r="J91" s="14">
        <v>1.07</v>
      </c>
      <c r="K91" s="15">
        <v>0</v>
      </c>
      <c r="M91" s="47"/>
      <c r="N91" s="47"/>
    </row>
    <row r="92" spans="1:14" s="22" customFormat="1" ht="15" hidden="1" x14ac:dyDescent="0.2">
      <c r="A92" s="53" t="s">
        <v>101</v>
      </c>
      <c r="B92" s="41" t="s">
        <v>102</v>
      </c>
      <c r="C92" s="54"/>
      <c r="D92" s="108"/>
      <c r="E92" s="59"/>
      <c r="F92" s="108"/>
      <c r="G92" s="59"/>
      <c r="H92" s="59"/>
      <c r="I92" s="14"/>
      <c r="J92" s="14"/>
      <c r="K92" s="15"/>
      <c r="M92" s="47"/>
      <c r="N92" s="47"/>
    </row>
    <row r="93" spans="1:14" s="22" customFormat="1" ht="15" x14ac:dyDescent="0.2">
      <c r="A93" s="53" t="s">
        <v>101</v>
      </c>
      <c r="B93" s="41" t="s">
        <v>135</v>
      </c>
      <c r="C93" s="54"/>
      <c r="D93" s="108">
        <v>25984.61</v>
      </c>
      <c r="E93" s="59"/>
      <c r="F93" s="108"/>
      <c r="G93" s="59"/>
      <c r="H93" s="59"/>
      <c r="I93" s="14">
        <v>2564.3000000000002</v>
      </c>
      <c r="J93" s="14"/>
      <c r="K93" s="15"/>
      <c r="M93" s="47"/>
      <c r="N93" s="47"/>
    </row>
    <row r="94" spans="1:14" s="22" customFormat="1" ht="15" x14ac:dyDescent="0.2">
      <c r="A94" s="46" t="s">
        <v>103</v>
      </c>
      <c r="B94" s="37"/>
      <c r="C94" s="54"/>
      <c r="D94" s="26">
        <f>D95+D96</f>
        <v>924.68</v>
      </c>
      <c r="E94" s="26" t="e">
        <f>E95+#REF!+E96</f>
        <v>#REF!</v>
      </c>
      <c r="F94" s="26" t="e">
        <f>F95+#REF!+F96</f>
        <v>#REF!</v>
      </c>
      <c r="G94" s="26">
        <f>D94/I94</f>
        <v>0.36</v>
      </c>
      <c r="H94" s="26">
        <f>G94/12</f>
        <v>0.03</v>
      </c>
      <c r="I94" s="14">
        <v>2564.3000000000002</v>
      </c>
      <c r="J94" s="14">
        <v>1.07</v>
      </c>
      <c r="K94" s="15">
        <v>0.12</v>
      </c>
      <c r="M94" s="47"/>
      <c r="N94" s="47"/>
    </row>
    <row r="95" spans="1:14" s="22" customFormat="1" ht="15" x14ac:dyDescent="0.2">
      <c r="A95" s="53" t="s">
        <v>104</v>
      </c>
      <c r="B95" s="37" t="s">
        <v>51</v>
      </c>
      <c r="C95" s="54"/>
      <c r="D95" s="55">
        <f>1098.16*I95/L95</f>
        <v>924.68</v>
      </c>
      <c r="E95" s="54"/>
      <c r="F95" s="56"/>
      <c r="G95" s="54"/>
      <c r="H95" s="54"/>
      <c r="I95" s="14">
        <v>2564.3000000000002</v>
      </c>
      <c r="J95" s="14">
        <v>1.07</v>
      </c>
      <c r="K95" s="15">
        <v>0.02</v>
      </c>
      <c r="L95" s="22">
        <v>3045.4</v>
      </c>
      <c r="M95" s="47"/>
      <c r="N95" s="47"/>
    </row>
    <row r="96" spans="1:14" s="22" customFormat="1" ht="15" hidden="1" x14ac:dyDescent="0.2">
      <c r="A96" s="53" t="s">
        <v>105</v>
      </c>
      <c r="B96" s="37" t="s">
        <v>51</v>
      </c>
      <c r="C96" s="54"/>
      <c r="D96" s="55"/>
      <c r="E96" s="54"/>
      <c r="F96" s="56"/>
      <c r="G96" s="54"/>
      <c r="H96" s="54"/>
      <c r="I96" s="14">
        <v>3045.4</v>
      </c>
      <c r="J96" s="14">
        <v>1.07</v>
      </c>
      <c r="K96" s="15">
        <v>0.02</v>
      </c>
      <c r="M96" s="47"/>
      <c r="N96" s="47"/>
    </row>
    <row r="97" spans="1:14" s="14" customFormat="1" ht="15" x14ac:dyDescent="0.2">
      <c r="A97" s="46" t="s">
        <v>106</v>
      </c>
      <c r="B97" s="25"/>
      <c r="C97" s="26"/>
      <c r="D97" s="26">
        <f>D98+D99</f>
        <v>19092.560000000001</v>
      </c>
      <c r="E97" s="26">
        <f>E98+E99</f>
        <v>0</v>
      </c>
      <c r="F97" s="26">
        <f>F98+F99</f>
        <v>0</v>
      </c>
      <c r="G97" s="26">
        <f>D97/I97</f>
        <v>7.45</v>
      </c>
      <c r="H97" s="26">
        <f>G97/12</f>
        <v>0.62</v>
      </c>
      <c r="I97" s="14">
        <v>2564.3000000000002</v>
      </c>
      <c r="J97" s="14">
        <v>1.07</v>
      </c>
      <c r="K97" s="15">
        <v>0.64</v>
      </c>
      <c r="M97" s="47"/>
      <c r="N97" s="47"/>
    </row>
    <row r="98" spans="1:14" s="22" customFormat="1" ht="15" x14ac:dyDescent="0.2">
      <c r="A98" s="53" t="s">
        <v>107</v>
      </c>
      <c r="B98" s="41" t="s">
        <v>53</v>
      </c>
      <c r="C98" s="54"/>
      <c r="D98" s="55">
        <v>11048.16</v>
      </c>
      <c r="E98" s="54"/>
      <c r="F98" s="56"/>
      <c r="G98" s="54"/>
      <c r="H98" s="54"/>
      <c r="I98" s="14">
        <v>2564.3000000000002</v>
      </c>
      <c r="J98" s="14">
        <v>1.07</v>
      </c>
      <c r="K98" s="15">
        <v>0.04</v>
      </c>
      <c r="M98" s="47"/>
      <c r="N98" s="47"/>
    </row>
    <row r="99" spans="1:14" s="22" customFormat="1" ht="15" x14ac:dyDescent="0.2">
      <c r="A99" s="53" t="s">
        <v>134</v>
      </c>
      <c r="B99" s="60" t="s">
        <v>135</v>
      </c>
      <c r="C99" s="54">
        <f>F99*12</f>
        <v>0</v>
      </c>
      <c r="D99" s="55">
        <v>8044.4</v>
      </c>
      <c r="E99" s="54">
        <f>H99*12</f>
        <v>0</v>
      </c>
      <c r="F99" s="56"/>
      <c r="G99" s="54"/>
      <c r="H99" s="54"/>
      <c r="I99" s="14">
        <v>2564.3000000000002</v>
      </c>
      <c r="J99" s="14">
        <v>1.07</v>
      </c>
      <c r="K99" s="15">
        <v>0.6</v>
      </c>
      <c r="M99" s="47"/>
      <c r="N99" s="47"/>
    </row>
    <row r="100" spans="1:14" s="14" customFormat="1" ht="15" x14ac:dyDescent="0.2">
      <c r="A100" s="46" t="s">
        <v>108</v>
      </c>
      <c r="B100" s="25"/>
      <c r="C100" s="26"/>
      <c r="D100" s="26">
        <f>D101+D102</f>
        <v>2196.66</v>
      </c>
      <c r="E100" s="26">
        <f>E101+E102</f>
        <v>0</v>
      </c>
      <c r="F100" s="26">
        <f>F101+F102</f>
        <v>0</v>
      </c>
      <c r="G100" s="26">
        <f>D100/I100</f>
        <v>0.86</v>
      </c>
      <c r="H100" s="26">
        <f>G100/12</f>
        <v>7.0000000000000007E-2</v>
      </c>
      <c r="I100" s="14">
        <v>2564.3000000000002</v>
      </c>
      <c r="J100" s="14">
        <v>1.07</v>
      </c>
      <c r="K100" s="15">
        <v>0.05</v>
      </c>
      <c r="M100" s="47"/>
      <c r="N100" s="47"/>
    </row>
    <row r="101" spans="1:14" s="22" customFormat="1" ht="15" x14ac:dyDescent="0.2">
      <c r="A101" s="53" t="s">
        <v>142</v>
      </c>
      <c r="B101" s="37" t="s">
        <v>109</v>
      </c>
      <c r="C101" s="54"/>
      <c r="D101" s="107">
        <v>1220.3399999999999</v>
      </c>
      <c r="E101" s="109"/>
      <c r="F101" s="110"/>
      <c r="G101" s="109"/>
      <c r="H101" s="109"/>
      <c r="I101" s="14">
        <v>2564.3000000000002</v>
      </c>
      <c r="J101" s="14">
        <v>1.07</v>
      </c>
      <c r="K101" s="15">
        <v>0.03</v>
      </c>
      <c r="M101" s="47"/>
      <c r="N101" s="47"/>
    </row>
    <row r="102" spans="1:14" s="22" customFormat="1" ht="15" x14ac:dyDescent="0.2">
      <c r="A102" s="53" t="s">
        <v>110</v>
      </c>
      <c r="B102" s="37" t="s">
        <v>109</v>
      </c>
      <c r="C102" s="54"/>
      <c r="D102" s="55">
        <v>976.32</v>
      </c>
      <c r="E102" s="54"/>
      <c r="F102" s="56"/>
      <c r="G102" s="54"/>
      <c r="H102" s="54"/>
      <c r="I102" s="14">
        <v>2564.3000000000002</v>
      </c>
      <c r="J102" s="14">
        <v>1.07</v>
      </c>
      <c r="K102" s="15">
        <v>0.02</v>
      </c>
      <c r="M102" s="47"/>
      <c r="N102" s="47"/>
    </row>
    <row r="103" spans="1:14" s="22" customFormat="1" ht="25.5" hidden="1" customHeight="1" x14ac:dyDescent="0.2">
      <c r="A103" s="53" t="s">
        <v>111</v>
      </c>
      <c r="B103" s="37" t="s">
        <v>51</v>
      </c>
      <c r="C103" s="54"/>
      <c r="D103" s="55"/>
      <c r="E103" s="54"/>
      <c r="F103" s="56"/>
      <c r="G103" s="54"/>
      <c r="H103" s="54">
        <v>0</v>
      </c>
      <c r="I103" s="14">
        <v>2564.3000000000002</v>
      </c>
      <c r="J103" s="14">
        <v>1.07</v>
      </c>
      <c r="K103" s="15">
        <v>0</v>
      </c>
      <c r="M103" s="47"/>
      <c r="N103" s="47"/>
    </row>
    <row r="104" spans="1:14" s="14" customFormat="1" ht="29.25" hidden="1" customHeight="1" x14ac:dyDescent="0.2">
      <c r="A104" s="69" t="s">
        <v>112</v>
      </c>
      <c r="B104" s="60"/>
      <c r="C104" s="52"/>
      <c r="D104" s="52">
        <f>G104*I104</f>
        <v>0</v>
      </c>
      <c r="E104" s="52"/>
      <c r="F104" s="70"/>
      <c r="G104" s="52">
        <f>H104*12</f>
        <v>0</v>
      </c>
      <c r="H104" s="52">
        <v>0</v>
      </c>
      <c r="I104" s="14">
        <v>2564.3000000000002</v>
      </c>
      <c r="J104" s="15"/>
      <c r="M104" s="47"/>
      <c r="N104" s="47"/>
    </row>
    <row r="105" spans="1:14" s="14" customFormat="1" ht="38.25" thickBot="1" x14ac:dyDescent="0.25">
      <c r="A105" s="69" t="s">
        <v>158</v>
      </c>
      <c r="B105" s="25" t="s">
        <v>28</v>
      </c>
      <c r="C105" s="52">
        <f>F105*12</f>
        <v>0</v>
      </c>
      <c r="D105" s="52">
        <v>45849.69</v>
      </c>
      <c r="E105" s="52">
        <f>H105*12</f>
        <v>17.88</v>
      </c>
      <c r="F105" s="70"/>
      <c r="G105" s="52">
        <f>H105*12</f>
        <v>17.88</v>
      </c>
      <c r="H105" s="52">
        <f>1.38+0.11</f>
        <v>1.49</v>
      </c>
      <c r="I105" s="14">
        <v>2564.3000000000002</v>
      </c>
      <c r="J105" s="14">
        <v>1.07</v>
      </c>
      <c r="K105" s="15">
        <v>0.3</v>
      </c>
      <c r="M105" s="47"/>
      <c r="N105" s="47"/>
    </row>
    <row r="106" spans="1:14" s="14" customFormat="1" ht="19.5" hidden="1" thickBot="1" x14ac:dyDescent="0.25">
      <c r="A106" s="71" t="s">
        <v>113</v>
      </c>
      <c r="B106" s="25"/>
      <c r="C106" s="50" t="e">
        <f>F106*12</f>
        <v>#REF!</v>
      </c>
      <c r="D106" s="50">
        <f>SUM(D107:D113)</f>
        <v>0</v>
      </c>
      <c r="E106" s="50">
        <f>H106*12</f>
        <v>0</v>
      </c>
      <c r="F106" s="50" t="e">
        <f>#REF!+#REF!+#REF!+#REF!+#REF!+#REF!+#REF!+#REF!+#REF!+#REF!</f>
        <v>#REF!</v>
      </c>
      <c r="G106" s="50">
        <f>G107+G108+G109+G110+G111+G112+G113</f>
        <v>0</v>
      </c>
      <c r="H106" s="50">
        <f>SUM(H107:H113)</f>
        <v>0</v>
      </c>
      <c r="I106" s="14">
        <v>2564.3000000000002</v>
      </c>
      <c r="K106" s="15"/>
      <c r="N106" s="47"/>
    </row>
    <row r="107" spans="1:14" s="14" customFormat="1" ht="15.75" hidden="1" thickBot="1" x14ac:dyDescent="0.25">
      <c r="A107" s="72" t="s">
        <v>114</v>
      </c>
      <c r="B107" s="73"/>
      <c r="C107" s="74"/>
      <c r="D107" s="50"/>
      <c r="E107" s="50"/>
      <c r="F107" s="50"/>
      <c r="G107" s="50"/>
      <c r="H107" s="74"/>
      <c r="I107" s="14">
        <v>2564.3000000000002</v>
      </c>
      <c r="K107" s="15"/>
      <c r="N107" s="47"/>
    </row>
    <row r="108" spans="1:14" s="14" customFormat="1" ht="15.75" hidden="1" thickBot="1" x14ac:dyDescent="0.25">
      <c r="A108" s="72" t="s">
        <v>115</v>
      </c>
      <c r="B108" s="73"/>
      <c r="C108" s="74"/>
      <c r="D108" s="50"/>
      <c r="E108" s="50"/>
      <c r="F108" s="50"/>
      <c r="G108" s="50"/>
      <c r="H108" s="74"/>
      <c r="I108" s="14">
        <v>2564.3000000000002</v>
      </c>
      <c r="K108" s="15"/>
      <c r="N108" s="47"/>
    </row>
    <row r="109" spans="1:14" s="14" customFormat="1" ht="15.75" hidden="1" thickBot="1" x14ac:dyDescent="0.25">
      <c r="A109" s="72" t="s">
        <v>116</v>
      </c>
      <c r="B109" s="73"/>
      <c r="C109" s="74"/>
      <c r="D109" s="50"/>
      <c r="E109" s="50"/>
      <c r="F109" s="50"/>
      <c r="G109" s="50"/>
      <c r="H109" s="74"/>
      <c r="I109" s="14">
        <v>2564.3000000000002</v>
      </c>
      <c r="K109" s="15"/>
      <c r="N109" s="47"/>
    </row>
    <row r="110" spans="1:14" s="14" customFormat="1" ht="15.75" hidden="1" thickBot="1" x14ac:dyDescent="0.25">
      <c r="A110" s="72" t="s">
        <v>117</v>
      </c>
      <c r="B110" s="73"/>
      <c r="C110" s="74"/>
      <c r="D110" s="50"/>
      <c r="E110" s="50"/>
      <c r="F110" s="50"/>
      <c r="G110" s="50"/>
      <c r="H110" s="74"/>
      <c r="I110" s="14">
        <v>2564.3000000000002</v>
      </c>
      <c r="K110" s="15"/>
      <c r="N110" s="47"/>
    </row>
    <row r="111" spans="1:14" s="14" customFormat="1" ht="15.75" hidden="1" thickBot="1" x14ac:dyDescent="0.25">
      <c r="A111" s="72" t="s">
        <v>118</v>
      </c>
      <c r="B111" s="73"/>
      <c r="C111" s="74"/>
      <c r="D111" s="50"/>
      <c r="E111" s="50"/>
      <c r="F111" s="50"/>
      <c r="G111" s="50"/>
      <c r="H111" s="74"/>
      <c r="I111" s="14">
        <v>2564.3000000000002</v>
      </c>
      <c r="K111" s="15"/>
      <c r="N111" s="47"/>
    </row>
    <row r="112" spans="1:14" s="14" customFormat="1" ht="15.75" hidden="1" thickBot="1" x14ac:dyDescent="0.25">
      <c r="A112" s="72" t="s">
        <v>119</v>
      </c>
      <c r="B112" s="73"/>
      <c r="C112" s="74"/>
      <c r="D112" s="50"/>
      <c r="E112" s="50"/>
      <c r="F112" s="50"/>
      <c r="G112" s="50"/>
      <c r="H112" s="74"/>
      <c r="I112" s="14">
        <v>2564.3000000000002</v>
      </c>
      <c r="K112" s="15"/>
      <c r="N112" s="47"/>
    </row>
    <row r="113" spans="1:14" s="14" customFormat="1" ht="15.75" hidden="1" thickBot="1" x14ac:dyDescent="0.25">
      <c r="A113" s="75" t="s">
        <v>120</v>
      </c>
      <c r="B113" s="76"/>
      <c r="C113" s="77"/>
      <c r="D113" s="52"/>
      <c r="E113" s="52"/>
      <c r="F113" s="52"/>
      <c r="G113" s="52"/>
      <c r="H113" s="77"/>
      <c r="I113" s="14">
        <v>2564.3000000000002</v>
      </c>
      <c r="K113" s="15"/>
      <c r="N113" s="47"/>
    </row>
    <row r="114" spans="1:14" s="14" customFormat="1" ht="26.25" hidden="1" thickBot="1" x14ac:dyDescent="0.25">
      <c r="A114" s="78" t="s">
        <v>121</v>
      </c>
      <c r="B114" s="60" t="s">
        <v>122</v>
      </c>
      <c r="C114" s="79"/>
      <c r="D114" s="52"/>
      <c r="E114" s="52"/>
      <c r="F114" s="70"/>
      <c r="G114" s="52"/>
      <c r="H114" s="52"/>
      <c r="I114" s="14">
        <v>2564.3000000000002</v>
      </c>
      <c r="K114" s="15"/>
      <c r="N114" s="47"/>
    </row>
    <row r="115" spans="1:14" s="14" customFormat="1" ht="30.75" thickBot="1" x14ac:dyDescent="0.25">
      <c r="A115" s="78" t="s">
        <v>121</v>
      </c>
      <c r="B115" s="118" t="s">
        <v>159</v>
      </c>
      <c r="C115" s="119"/>
      <c r="D115" s="52">
        <v>12300</v>
      </c>
      <c r="E115" s="52"/>
      <c r="F115" s="117"/>
      <c r="G115" s="52">
        <f>D115/I115</f>
        <v>4.8</v>
      </c>
      <c r="H115" s="52">
        <f>G115/12</f>
        <v>0.4</v>
      </c>
      <c r="I115" s="14">
        <v>2564.3000000000002</v>
      </c>
      <c r="K115" s="15"/>
      <c r="N115" s="47"/>
    </row>
    <row r="116" spans="1:14" s="14" customFormat="1" ht="20.25" thickBot="1" x14ac:dyDescent="0.45">
      <c r="A116" s="82" t="s">
        <v>124</v>
      </c>
      <c r="B116" s="83"/>
      <c r="C116" s="84" t="e">
        <f>F116*12</f>
        <v>#REF!</v>
      </c>
      <c r="D116" s="85">
        <f>D115+D105+D100+D97+D94+D83+D82+D72+D58+D57+D56+D55+D54+D50+D49+D48+D47+D41+D40+D34+D33+D32+D23+D15</f>
        <v>607202.26</v>
      </c>
      <c r="E116" s="85" t="e">
        <f t="shared" ref="E116:H116" si="11">E115+E105+E100+E97+E94+E83+E82+E72+E58+E57+E56+E55+E54+E50+E49+E48+E47+E41+E40+E34+E33+E32+E23+E15</f>
        <v>#REF!</v>
      </c>
      <c r="F116" s="85" t="e">
        <f t="shared" si="11"/>
        <v>#REF!</v>
      </c>
      <c r="G116" s="85">
        <f t="shared" si="11"/>
        <v>236.8</v>
      </c>
      <c r="H116" s="85">
        <f t="shared" si="11"/>
        <v>19.739999999999998</v>
      </c>
      <c r="I116" s="14">
        <v>2564.3000000000002</v>
      </c>
      <c r="K116" s="15"/>
    </row>
    <row r="117" spans="1:14" s="90" customFormat="1" ht="20.25" hidden="1" thickBot="1" x14ac:dyDescent="0.25">
      <c r="A117" s="86" t="s">
        <v>125</v>
      </c>
      <c r="B117" s="87" t="s">
        <v>22</v>
      </c>
      <c r="C117" s="87" t="s">
        <v>126</v>
      </c>
      <c r="D117" s="88"/>
      <c r="E117" s="87" t="s">
        <v>126</v>
      </c>
      <c r="F117" s="89"/>
      <c r="G117" s="87" t="s">
        <v>126</v>
      </c>
      <c r="H117" s="89">
        <v>24.94</v>
      </c>
      <c r="K117" s="91"/>
    </row>
    <row r="118" spans="1:14" s="93" customFormat="1" x14ac:dyDescent="0.2">
      <c r="A118" s="92"/>
      <c r="K118" s="94"/>
    </row>
    <row r="119" spans="1:14" s="98" customFormat="1" ht="19.5" thickBot="1" x14ac:dyDescent="0.45">
      <c r="A119" s="95"/>
      <c r="B119" s="96"/>
      <c r="C119" s="97"/>
      <c r="D119" s="97"/>
      <c r="E119" s="97"/>
      <c r="F119" s="97"/>
      <c r="G119" s="97"/>
      <c r="H119" s="97"/>
      <c r="K119" s="99"/>
    </row>
    <row r="120" spans="1:14" s="98" customFormat="1" ht="30.75" thickBot="1" x14ac:dyDescent="0.45">
      <c r="A120" s="78" t="s">
        <v>127</v>
      </c>
      <c r="B120" s="83"/>
      <c r="C120" s="84">
        <f>F120*12</f>
        <v>0</v>
      </c>
      <c r="D120" s="84">
        <f>D123+D124+D125+D126+D127+D135+D136+D137</f>
        <v>130614.96</v>
      </c>
      <c r="E120" s="84" t="e">
        <f t="shared" ref="E120:H120" si="12">E123+E124+E125+E126+E127+E135+E136+E137</f>
        <v>#VALUE!</v>
      </c>
      <c r="F120" s="84">
        <f t="shared" si="12"/>
        <v>0</v>
      </c>
      <c r="G120" s="84">
        <f t="shared" si="12"/>
        <v>50.94</v>
      </c>
      <c r="H120" s="84">
        <f t="shared" si="12"/>
        <v>4.24</v>
      </c>
      <c r="I120" s="14">
        <v>2564.3000000000002</v>
      </c>
      <c r="K120" s="99"/>
    </row>
    <row r="121" spans="1:14" s="22" customFormat="1" ht="15" hidden="1" x14ac:dyDescent="0.2">
      <c r="A121" s="53"/>
      <c r="B121" s="37"/>
      <c r="C121" s="54"/>
      <c r="D121" s="55"/>
      <c r="E121" s="54"/>
      <c r="F121" s="56"/>
      <c r="G121" s="54"/>
      <c r="H121" s="54"/>
      <c r="I121" s="14"/>
      <c r="J121" s="14"/>
      <c r="K121" s="15"/>
    </row>
    <row r="122" spans="1:14" s="22" customFormat="1" ht="15" hidden="1" x14ac:dyDescent="0.2">
      <c r="A122" s="53"/>
      <c r="B122" s="37"/>
      <c r="C122" s="54"/>
      <c r="D122" s="55"/>
      <c r="E122" s="54"/>
      <c r="F122" s="56"/>
      <c r="G122" s="54"/>
      <c r="H122" s="54"/>
      <c r="I122" s="14"/>
      <c r="J122" s="14"/>
      <c r="K122" s="15"/>
    </row>
    <row r="123" spans="1:14" s="22" customFormat="1" ht="15" x14ac:dyDescent="0.2">
      <c r="A123" s="100" t="s">
        <v>149</v>
      </c>
      <c r="B123" s="37"/>
      <c r="C123" s="54"/>
      <c r="D123" s="55">
        <f>10000.39*I123/L123</f>
        <v>8420.57</v>
      </c>
      <c r="E123" s="54"/>
      <c r="F123" s="56"/>
      <c r="G123" s="54">
        <f t="shared" ref="G123:G137" si="13">D123/I123</f>
        <v>3.28</v>
      </c>
      <c r="H123" s="54">
        <f t="shared" ref="H123:H137" si="14">G123/12</f>
        <v>0.27</v>
      </c>
      <c r="I123" s="14">
        <v>2564.3000000000002</v>
      </c>
      <c r="J123" s="14"/>
      <c r="K123" s="15"/>
      <c r="L123" s="22">
        <v>3045.4</v>
      </c>
    </row>
    <row r="124" spans="1:14" s="22" customFormat="1" ht="15" x14ac:dyDescent="0.2">
      <c r="A124" s="100" t="s">
        <v>150</v>
      </c>
      <c r="B124" s="37"/>
      <c r="C124" s="54"/>
      <c r="D124" s="55">
        <f>10987.26*I124/L124</f>
        <v>9251.5400000000009</v>
      </c>
      <c r="E124" s="54"/>
      <c r="F124" s="56"/>
      <c r="G124" s="54">
        <f t="shared" si="13"/>
        <v>3.61</v>
      </c>
      <c r="H124" s="54">
        <f t="shared" si="14"/>
        <v>0.3</v>
      </c>
      <c r="I124" s="14">
        <v>2564.3000000000002</v>
      </c>
      <c r="J124" s="14"/>
      <c r="K124" s="15"/>
      <c r="L124" s="22">
        <v>3045.4</v>
      </c>
    </row>
    <row r="125" spans="1:14" s="22" customFormat="1" ht="15" x14ac:dyDescent="0.2">
      <c r="A125" s="100" t="s">
        <v>151</v>
      </c>
      <c r="B125" s="37"/>
      <c r="C125" s="54"/>
      <c r="D125" s="55">
        <f>2268.69*I125/L125</f>
        <v>1910.29</v>
      </c>
      <c r="E125" s="54"/>
      <c r="F125" s="56"/>
      <c r="G125" s="54">
        <f t="shared" si="13"/>
        <v>0.74</v>
      </c>
      <c r="H125" s="54">
        <f t="shared" si="14"/>
        <v>0.06</v>
      </c>
      <c r="I125" s="14">
        <v>2564.3000000000002</v>
      </c>
      <c r="J125" s="14"/>
      <c r="K125" s="15"/>
      <c r="L125" s="22">
        <v>3045.4</v>
      </c>
    </row>
    <row r="126" spans="1:14" s="22" customFormat="1" ht="15" x14ac:dyDescent="0.2">
      <c r="A126" s="100" t="s">
        <v>152</v>
      </c>
      <c r="B126" s="37"/>
      <c r="C126" s="54"/>
      <c r="D126" s="55">
        <f>3218.1*I126/L126</f>
        <v>2709.72</v>
      </c>
      <c r="E126" s="54"/>
      <c r="F126" s="56"/>
      <c r="G126" s="54">
        <f t="shared" si="13"/>
        <v>1.06</v>
      </c>
      <c r="H126" s="54">
        <f t="shared" si="14"/>
        <v>0.09</v>
      </c>
      <c r="I126" s="14">
        <v>2564.3000000000002</v>
      </c>
      <c r="J126" s="14"/>
      <c r="K126" s="15"/>
      <c r="L126" s="22">
        <v>3045.4</v>
      </c>
    </row>
    <row r="127" spans="1:14" s="22" customFormat="1" ht="22.5" customHeight="1" x14ac:dyDescent="0.2">
      <c r="A127" s="100" t="s">
        <v>154</v>
      </c>
      <c r="B127" s="37"/>
      <c r="C127" s="54"/>
      <c r="D127" s="55">
        <f>722.42*I127/L127</f>
        <v>608.29999999999995</v>
      </c>
      <c r="E127" s="54"/>
      <c r="F127" s="56"/>
      <c r="G127" s="54">
        <f t="shared" si="13"/>
        <v>0.24</v>
      </c>
      <c r="H127" s="54">
        <f t="shared" si="14"/>
        <v>0.02</v>
      </c>
      <c r="I127" s="14">
        <v>2564.3000000000002</v>
      </c>
      <c r="J127" s="14"/>
      <c r="K127" s="15"/>
      <c r="L127" s="22">
        <v>3045.4</v>
      </c>
    </row>
    <row r="128" spans="1:14" s="22" customFormat="1" ht="15" hidden="1" x14ac:dyDescent="0.2">
      <c r="A128" s="100" t="s">
        <v>128</v>
      </c>
      <c r="B128" s="37"/>
      <c r="C128" s="54"/>
      <c r="D128" s="55"/>
      <c r="E128" s="54"/>
      <c r="F128" s="56"/>
      <c r="G128" s="54">
        <f t="shared" si="13"/>
        <v>0</v>
      </c>
      <c r="H128" s="54">
        <f t="shared" si="14"/>
        <v>0</v>
      </c>
      <c r="I128" s="14">
        <v>3045.4</v>
      </c>
      <c r="J128" s="14"/>
      <c r="K128" s="15"/>
    </row>
    <row r="129" spans="1:12" s="22" customFormat="1" ht="15" hidden="1" x14ac:dyDescent="0.2">
      <c r="A129" s="53"/>
      <c r="B129" s="37"/>
      <c r="C129" s="54"/>
      <c r="D129" s="55"/>
      <c r="E129" s="54"/>
      <c r="F129" s="56"/>
      <c r="G129" s="54">
        <f t="shared" si="13"/>
        <v>0</v>
      </c>
      <c r="H129" s="54">
        <f t="shared" si="14"/>
        <v>0</v>
      </c>
      <c r="I129" s="14">
        <v>3045.4</v>
      </c>
      <c r="J129" s="14"/>
      <c r="K129" s="15"/>
    </row>
    <row r="130" spans="1:12" s="22" customFormat="1" ht="15" hidden="1" x14ac:dyDescent="0.2">
      <c r="A130" s="53"/>
      <c r="B130" s="37"/>
      <c r="C130" s="54"/>
      <c r="D130" s="55"/>
      <c r="E130" s="54"/>
      <c r="F130" s="56"/>
      <c r="G130" s="54">
        <f t="shared" si="13"/>
        <v>0</v>
      </c>
      <c r="H130" s="54">
        <f t="shared" si="14"/>
        <v>0</v>
      </c>
      <c r="I130" s="14">
        <v>3045.4</v>
      </c>
      <c r="J130" s="14"/>
      <c r="K130" s="15"/>
    </row>
    <row r="131" spans="1:12" s="22" customFormat="1" ht="15" hidden="1" x14ac:dyDescent="0.2">
      <c r="A131" s="53"/>
      <c r="B131" s="37"/>
      <c r="C131" s="54"/>
      <c r="D131" s="55"/>
      <c r="E131" s="54"/>
      <c r="F131" s="56"/>
      <c r="G131" s="54">
        <f t="shared" si="13"/>
        <v>0</v>
      </c>
      <c r="H131" s="54">
        <f t="shared" si="14"/>
        <v>0</v>
      </c>
      <c r="I131" s="14">
        <v>2564.3000000000002</v>
      </c>
      <c r="J131" s="14"/>
      <c r="K131" s="15"/>
    </row>
    <row r="132" spans="1:12" s="22" customFormat="1" ht="15" hidden="1" x14ac:dyDescent="0.2">
      <c r="A132" s="53"/>
      <c r="B132" s="37"/>
      <c r="C132" s="54"/>
      <c r="D132" s="55"/>
      <c r="E132" s="54"/>
      <c r="F132" s="56"/>
      <c r="G132" s="54">
        <f t="shared" si="13"/>
        <v>0</v>
      </c>
      <c r="H132" s="54">
        <f t="shared" si="14"/>
        <v>0</v>
      </c>
      <c r="I132" s="14">
        <v>3045.4</v>
      </c>
      <c r="J132" s="14"/>
      <c r="K132" s="15"/>
    </row>
    <row r="133" spans="1:12" s="22" customFormat="1" ht="16.5" hidden="1" customHeight="1" x14ac:dyDescent="0.2">
      <c r="A133" s="53"/>
      <c r="B133" s="37"/>
      <c r="C133" s="54"/>
      <c r="D133" s="55"/>
      <c r="E133" s="54"/>
      <c r="F133" s="56"/>
      <c r="G133" s="54">
        <f t="shared" si="13"/>
        <v>0</v>
      </c>
      <c r="H133" s="54">
        <f t="shared" si="14"/>
        <v>0</v>
      </c>
      <c r="I133" s="14">
        <v>3045.4</v>
      </c>
      <c r="J133" s="14"/>
      <c r="K133" s="15"/>
    </row>
    <row r="134" spans="1:12" s="22" customFormat="1" ht="16.5" hidden="1" customHeight="1" x14ac:dyDescent="0.2">
      <c r="A134" s="100"/>
      <c r="B134" s="37"/>
      <c r="C134" s="54"/>
      <c r="D134" s="54"/>
      <c r="E134" s="54"/>
      <c r="F134" s="54"/>
      <c r="G134" s="54">
        <f t="shared" si="13"/>
        <v>0</v>
      </c>
      <c r="H134" s="54">
        <f t="shared" si="14"/>
        <v>0</v>
      </c>
      <c r="I134" s="14">
        <v>3045.4</v>
      </c>
      <c r="J134" s="14"/>
      <c r="K134" s="15"/>
    </row>
    <row r="135" spans="1:12" s="22" customFormat="1" ht="16.5" customHeight="1" x14ac:dyDescent="0.2">
      <c r="A135" s="100" t="s">
        <v>164</v>
      </c>
      <c r="B135" s="37"/>
      <c r="C135" s="54"/>
      <c r="D135" s="54">
        <f>29810.88*I135/L135</f>
        <v>25101.48</v>
      </c>
      <c r="E135" s="100" t="s">
        <v>164</v>
      </c>
      <c r="F135" s="37"/>
      <c r="G135" s="54">
        <f t="shared" si="13"/>
        <v>9.7899999999999991</v>
      </c>
      <c r="H135" s="54">
        <f t="shared" si="14"/>
        <v>0.82</v>
      </c>
      <c r="I135" s="14">
        <v>2564.3000000000002</v>
      </c>
      <c r="J135" s="14"/>
      <c r="K135" s="15"/>
      <c r="L135" s="22">
        <v>3045.4</v>
      </c>
    </row>
    <row r="136" spans="1:12" s="22" customFormat="1" ht="16.5" customHeight="1" x14ac:dyDescent="0.2">
      <c r="A136" s="100" t="s">
        <v>165</v>
      </c>
      <c r="B136" s="37"/>
      <c r="C136" s="54"/>
      <c r="D136" s="54">
        <v>69893.97</v>
      </c>
      <c r="E136" s="100" t="s">
        <v>165</v>
      </c>
      <c r="F136" s="37"/>
      <c r="G136" s="54">
        <f t="shared" si="13"/>
        <v>27.26</v>
      </c>
      <c r="H136" s="54">
        <f t="shared" si="14"/>
        <v>2.27</v>
      </c>
      <c r="I136" s="14">
        <v>2564.3000000000002</v>
      </c>
      <c r="J136" s="14"/>
      <c r="K136" s="15"/>
    </row>
    <row r="137" spans="1:12" s="22" customFormat="1" ht="16.5" customHeight="1" x14ac:dyDescent="0.2">
      <c r="A137" s="100" t="s">
        <v>166</v>
      </c>
      <c r="B137" s="37"/>
      <c r="C137" s="54"/>
      <c r="D137" s="54">
        <v>12719.09</v>
      </c>
      <c r="E137" s="100" t="s">
        <v>166</v>
      </c>
      <c r="F137" s="37"/>
      <c r="G137" s="54">
        <f t="shared" si="13"/>
        <v>4.96</v>
      </c>
      <c r="H137" s="54">
        <f t="shared" si="14"/>
        <v>0.41</v>
      </c>
      <c r="I137" s="14">
        <v>2564.3000000000002</v>
      </c>
      <c r="J137" s="14"/>
      <c r="K137" s="15"/>
    </row>
    <row r="138" spans="1:12" s="22" customFormat="1" ht="16.5" customHeight="1" x14ac:dyDescent="0.2">
      <c r="A138" s="95"/>
      <c r="B138" s="123"/>
      <c r="C138" s="124"/>
      <c r="D138" s="124"/>
      <c r="E138" s="124"/>
      <c r="F138" s="124"/>
      <c r="G138" s="124"/>
      <c r="H138" s="124"/>
      <c r="I138" s="14"/>
      <c r="J138" s="14"/>
      <c r="K138" s="15"/>
    </row>
    <row r="139" spans="1:12" s="98" customFormat="1" ht="19.5" thickBot="1" x14ac:dyDescent="0.45">
      <c r="A139" s="95"/>
      <c r="B139" s="96"/>
      <c r="C139" s="97"/>
      <c r="D139" s="97"/>
      <c r="E139" s="97"/>
      <c r="F139" s="97"/>
      <c r="G139" s="97"/>
      <c r="H139" s="97"/>
      <c r="K139" s="99"/>
    </row>
    <row r="140" spans="1:12" s="98" customFormat="1" ht="20.25" thickBot="1" x14ac:dyDescent="0.45">
      <c r="A140" s="82" t="s">
        <v>129</v>
      </c>
      <c r="B140" s="101"/>
      <c r="C140" s="101"/>
      <c r="D140" s="102">
        <f>D116+D120</f>
        <v>737817.22</v>
      </c>
      <c r="E140" s="102" t="e">
        <f>E116+E120</f>
        <v>#REF!</v>
      </c>
      <c r="F140" s="102" t="e">
        <f>F116+F120</f>
        <v>#REF!</v>
      </c>
      <c r="G140" s="102">
        <f>G116+G120</f>
        <v>287.74</v>
      </c>
      <c r="H140" s="102">
        <f>H116+H120</f>
        <v>23.98</v>
      </c>
      <c r="K140" s="99"/>
    </row>
    <row r="141" spans="1:12" s="98" customFormat="1" ht="19.5" x14ac:dyDescent="0.4">
      <c r="A141" s="103"/>
      <c r="B141" s="104"/>
      <c r="C141" s="104"/>
      <c r="D141" s="105"/>
      <c r="E141" s="104"/>
      <c r="F141" s="104"/>
      <c r="G141" s="105"/>
      <c r="H141" s="105"/>
      <c r="K141" s="99"/>
    </row>
    <row r="142" spans="1:12" s="98" customFormat="1" ht="19.5" x14ac:dyDescent="0.4">
      <c r="A142" s="103"/>
      <c r="B142" s="104"/>
      <c r="C142" s="104"/>
      <c r="D142" s="105"/>
      <c r="E142" s="104"/>
      <c r="F142" s="104"/>
      <c r="G142" s="105"/>
      <c r="H142" s="105"/>
      <c r="K142" s="99"/>
    </row>
    <row r="143" spans="1:12" s="98" customFormat="1" ht="19.5" x14ac:dyDescent="0.4">
      <c r="A143" s="103"/>
      <c r="B143" s="104"/>
      <c r="C143" s="104"/>
      <c r="D143" s="105"/>
      <c r="E143" s="104"/>
      <c r="F143" s="104"/>
      <c r="G143" s="105"/>
      <c r="H143" s="105"/>
      <c r="K143" s="99"/>
    </row>
    <row r="144" spans="1:12" s="90" customFormat="1" ht="19.5" x14ac:dyDescent="0.2">
      <c r="A144" s="106"/>
      <c r="B144" s="104"/>
      <c r="C144" s="105"/>
      <c r="D144" s="105"/>
      <c r="E144" s="105"/>
      <c r="F144" s="105"/>
      <c r="G144" s="105"/>
      <c r="H144" s="105"/>
      <c r="K144" s="91"/>
    </row>
    <row r="145" spans="1:11" s="93" customFormat="1" ht="14.25" x14ac:dyDescent="0.2">
      <c r="A145" s="142" t="s">
        <v>130</v>
      </c>
      <c r="B145" s="142"/>
      <c r="C145" s="142"/>
      <c r="D145" s="142"/>
      <c r="E145" s="142"/>
      <c r="F145" s="142"/>
      <c r="K145" s="94"/>
    </row>
    <row r="146" spans="1:11" s="93" customFormat="1" x14ac:dyDescent="0.2">
      <c r="K146" s="94"/>
    </row>
    <row r="147" spans="1:11" s="93" customFormat="1" x14ac:dyDescent="0.2">
      <c r="A147" s="92" t="s">
        <v>131</v>
      </c>
      <c r="K147" s="94"/>
    </row>
    <row r="148" spans="1:11" s="93" customFormat="1" x14ac:dyDescent="0.2">
      <c r="K148" s="94"/>
    </row>
    <row r="149" spans="1:11" s="93" customFormat="1" x14ac:dyDescent="0.2">
      <c r="K149" s="94"/>
    </row>
    <row r="150" spans="1:11" s="93" customFormat="1" x14ac:dyDescent="0.2">
      <c r="K150" s="94"/>
    </row>
    <row r="151" spans="1:11" s="93" customFormat="1" x14ac:dyDescent="0.2">
      <c r="K151" s="94"/>
    </row>
    <row r="152" spans="1:11" s="93" customFormat="1" x14ac:dyDescent="0.2">
      <c r="K152" s="94"/>
    </row>
    <row r="153" spans="1:11" s="93" customFormat="1" x14ac:dyDescent="0.2">
      <c r="K153" s="94"/>
    </row>
    <row r="154" spans="1:11" s="93" customFormat="1" x14ac:dyDescent="0.2">
      <c r="K154" s="94"/>
    </row>
    <row r="155" spans="1:11" s="93" customFormat="1" x14ac:dyDescent="0.2">
      <c r="K155" s="94"/>
    </row>
    <row r="156" spans="1:11" s="93" customFormat="1" x14ac:dyDescent="0.2">
      <c r="K156" s="94"/>
    </row>
    <row r="157" spans="1:11" s="93" customFormat="1" x14ac:dyDescent="0.2">
      <c r="K157" s="94"/>
    </row>
    <row r="158" spans="1:11" s="93" customFormat="1" x14ac:dyDescent="0.2">
      <c r="K158" s="94"/>
    </row>
    <row r="159" spans="1:11" s="93" customFormat="1" x14ac:dyDescent="0.2">
      <c r="K159" s="94"/>
    </row>
    <row r="160" spans="1:11" s="93" customFormat="1" x14ac:dyDescent="0.2">
      <c r="K160" s="94"/>
    </row>
    <row r="161" spans="11:11" s="93" customFormat="1" x14ac:dyDescent="0.2">
      <c r="K161" s="94"/>
    </row>
    <row r="162" spans="11:11" s="93" customFormat="1" x14ac:dyDescent="0.2">
      <c r="K162" s="94"/>
    </row>
    <row r="163" spans="11:11" s="93" customFormat="1" x14ac:dyDescent="0.2">
      <c r="K163" s="94"/>
    </row>
    <row r="164" spans="11:11" s="93" customFormat="1" x14ac:dyDescent="0.2">
      <c r="K164" s="94"/>
    </row>
    <row r="165" spans="11:11" s="93" customFormat="1" x14ac:dyDescent="0.2">
      <c r="K165" s="94"/>
    </row>
  </sheetData>
  <mergeCells count="12">
    <mergeCell ref="A145:F145"/>
    <mergeCell ref="A1:H1"/>
    <mergeCell ref="B2:H2"/>
    <mergeCell ref="B3:H3"/>
    <mergeCell ref="B5:H5"/>
    <mergeCell ref="A6:H6"/>
    <mergeCell ref="A7:H7"/>
    <mergeCell ref="A8:H8"/>
    <mergeCell ref="A9:H9"/>
    <mergeCell ref="A10:H10"/>
    <mergeCell ref="A11:H11"/>
    <mergeCell ref="A14:H14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5"/>
  <sheetViews>
    <sheetView topLeftCell="A28" zoomScale="75" workbookViewId="0">
      <selection sqref="A1:H99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hidden="1" customWidth="1"/>
    <col min="4" max="4" width="18.140625" style="1" customWidth="1"/>
    <col min="5" max="5" width="13.85546875" style="1" hidden="1" customWidth="1"/>
    <col min="6" max="6" width="20.85546875" style="1" hidden="1" customWidth="1"/>
    <col min="7" max="7" width="15.7109375" style="1" customWidth="1"/>
    <col min="8" max="8" width="20.85546875" style="1" customWidth="1"/>
    <col min="9" max="9" width="15.42578125" style="1" customWidth="1"/>
    <col min="10" max="10" width="15.42578125" style="1" hidden="1" customWidth="1"/>
    <col min="11" max="11" width="15.42578125" style="2" hidden="1" customWidth="1"/>
    <col min="12" max="14" width="15.42578125" style="1" customWidth="1"/>
    <col min="15" max="16384" width="9.140625" style="1"/>
  </cols>
  <sheetData>
    <row r="1" spans="1:12" ht="16.5" customHeight="1" x14ac:dyDescent="0.2">
      <c r="A1" s="143" t="s">
        <v>0</v>
      </c>
      <c r="B1" s="144"/>
      <c r="C1" s="144"/>
      <c r="D1" s="144"/>
      <c r="E1" s="144"/>
      <c r="F1" s="144"/>
      <c r="G1" s="144"/>
      <c r="H1" s="144"/>
    </row>
    <row r="2" spans="1:12" ht="12.75" customHeight="1" x14ac:dyDescent="0.3">
      <c r="B2" s="145" t="s">
        <v>1</v>
      </c>
      <c r="C2" s="145"/>
      <c r="D2" s="145"/>
      <c r="E2" s="145"/>
      <c r="F2" s="145"/>
      <c r="G2" s="144"/>
      <c r="H2" s="144"/>
    </row>
    <row r="3" spans="1:12" ht="21" customHeight="1" x14ac:dyDescent="0.3">
      <c r="A3" s="3" t="s">
        <v>161</v>
      </c>
      <c r="B3" s="145" t="s">
        <v>2</v>
      </c>
      <c r="C3" s="145"/>
      <c r="D3" s="145"/>
      <c r="E3" s="145"/>
      <c r="F3" s="145"/>
      <c r="G3" s="144"/>
      <c r="H3" s="144"/>
    </row>
    <row r="4" spans="1:12" ht="21" customHeight="1" x14ac:dyDescent="0.3">
      <c r="A4" s="3"/>
      <c r="B4" s="115"/>
      <c r="C4" s="115"/>
      <c r="D4" s="115"/>
      <c r="E4" s="115"/>
      <c r="F4" s="115"/>
      <c r="G4" s="114"/>
      <c r="H4" s="114"/>
    </row>
    <row r="5" spans="1:12" ht="14.25" customHeight="1" x14ac:dyDescent="0.3">
      <c r="B5" s="145" t="s">
        <v>3</v>
      </c>
      <c r="C5" s="145"/>
      <c r="D5" s="145"/>
      <c r="E5" s="145"/>
      <c r="F5" s="145"/>
      <c r="G5" s="144"/>
      <c r="H5" s="144"/>
    </row>
    <row r="6" spans="1:12" ht="18" customHeight="1" x14ac:dyDescent="0.4">
      <c r="A6" s="146"/>
      <c r="B6" s="146"/>
      <c r="C6" s="146"/>
      <c r="D6" s="146"/>
      <c r="E6" s="146"/>
      <c r="F6" s="146"/>
      <c r="G6" s="146"/>
      <c r="H6" s="146"/>
    </row>
    <row r="7" spans="1:12" ht="18" customHeight="1" x14ac:dyDescent="0.2">
      <c r="A7" s="147" t="s">
        <v>162</v>
      </c>
      <c r="B7" s="147"/>
      <c r="C7" s="147"/>
      <c r="D7" s="147"/>
      <c r="E7" s="147"/>
      <c r="F7" s="147"/>
      <c r="G7" s="147"/>
      <c r="H7" s="147"/>
    </row>
    <row r="8" spans="1:12" s="6" customFormat="1" ht="22.5" customHeight="1" x14ac:dyDescent="0.4">
      <c r="A8" s="132" t="s">
        <v>4</v>
      </c>
      <c r="B8" s="132"/>
      <c r="C8" s="132"/>
      <c r="D8" s="132"/>
      <c r="E8" s="132"/>
      <c r="F8" s="132"/>
      <c r="G8" s="132"/>
      <c r="H8" s="132"/>
      <c r="K8" s="7"/>
    </row>
    <row r="9" spans="1:12" s="8" customFormat="1" ht="18.75" customHeight="1" x14ac:dyDescent="0.4">
      <c r="A9" s="132" t="s">
        <v>143</v>
      </c>
      <c r="B9" s="132"/>
      <c r="C9" s="132"/>
      <c r="D9" s="132"/>
      <c r="E9" s="132"/>
      <c r="F9" s="132"/>
      <c r="G9" s="132"/>
      <c r="H9" s="132"/>
    </row>
    <row r="10" spans="1:12" s="9" customFormat="1" ht="17.25" customHeight="1" x14ac:dyDescent="0.2">
      <c r="A10" s="134" t="s">
        <v>5</v>
      </c>
      <c r="B10" s="134"/>
      <c r="C10" s="134"/>
      <c r="D10" s="134"/>
      <c r="E10" s="135"/>
      <c r="F10" s="135"/>
      <c r="G10" s="135"/>
      <c r="H10" s="135"/>
    </row>
    <row r="11" spans="1:12" s="9" customFormat="1" ht="17.25" customHeight="1" x14ac:dyDescent="0.2">
      <c r="A11" s="148" t="s">
        <v>144</v>
      </c>
      <c r="B11" s="148"/>
      <c r="C11" s="148"/>
      <c r="D11" s="148"/>
      <c r="E11" s="148"/>
      <c r="F11" s="148"/>
      <c r="G11" s="148"/>
      <c r="H11" s="148"/>
    </row>
    <row r="12" spans="1:12" s="8" customFormat="1" ht="30" customHeight="1" thickBot="1" x14ac:dyDescent="0.25">
      <c r="A12" s="136" t="s">
        <v>6</v>
      </c>
      <c r="B12" s="136"/>
      <c r="C12" s="136"/>
      <c r="D12" s="136"/>
      <c r="E12" s="137"/>
      <c r="F12" s="137"/>
      <c r="G12" s="137"/>
      <c r="H12" s="137"/>
    </row>
    <row r="13" spans="1:12" s="14" customFormat="1" ht="139.5" customHeight="1" thickBot="1" x14ac:dyDescent="0.25">
      <c r="A13" s="10" t="s">
        <v>7</v>
      </c>
      <c r="B13" s="11" t="s">
        <v>8</v>
      </c>
      <c r="C13" s="12" t="s">
        <v>9</v>
      </c>
      <c r="D13" s="12" t="s">
        <v>10</v>
      </c>
      <c r="E13" s="12" t="s">
        <v>9</v>
      </c>
      <c r="F13" s="13" t="s">
        <v>11</v>
      </c>
      <c r="G13" s="12" t="s">
        <v>9</v>
      </c>
      <c r="H13" s="13" t="s">
        <v>11</v>
      </c>
      <c r="K13" s="15"/>
    </row>
    <row r="14" spans="1:12" s="22" customFormat="1" x14ac:dyDescent="0.2">
      <c r="A14" s="16">
        <v>1</v>
      </c>
      <c r="B14" s="17">
        <v>2</v>
      </c>
      <c r="C14" s="17">
        <v>3</v>
      </c>
      <c r="D14" s="18"/>
      <c r="E14" s="17">
        <v>3</v>
      </c>
      <c r="F14" s="19">
        <v>4</v>
      </c>
      <c r="G14" s="20">
        <v>3</v>
      </c>
      <c r="H14" s="21">
        <v>4</v>
      </c>
      <c r="K14" s="23"/>
    </row>
    <row r="15" spans="1:12" s="22" customFormat="1" ht="49.5" customHeight="1" x14ac:dyDescent="0.2">
      <c r="A15" s="138" t="s">
        <v>12</v>
      </c>
      <c r="B15" s="139"/>
      <c r="C15" s="139"/>
      <c r="D15" s="139"/>
      <c r="E15" s="139"/>
      <c r="F15" s="139"/>
      <c r="G15" s="140"/>
      <c r="H15" s="141"/>
      <c r="K15" s="23"/>
    </row>
    <row r="16" spans="1:12" s="14" customFormat="1" ht="15" x14ac:dyDescent="0.2">
      <c r="A16" s="24" t="s">
        <v>140</v>
      </c>
      <c r="B16" s="25" t="s">
        <v>13</v>
      </c>
      <c r="C16" s="26">
        <f>F16*12</f>
        <v>0</v>
      </c>
      <c r="D16" s="38">
        <f>G16*I16</f>
        <v>17030.939999999999</v>
      </c>
      <c r="E16" s="26">
        <f>H16*12</f>
        <v>35.4</v>
      </c>
      <c r="F16" s="39"/>
      <c r="G16" s="26">
        <f>H16*12</f>
        <v>35.4</v>
      </c>
      <c r="H16" s="26">
        <f>H21+H23</f>
        <v>2.95</v>
      </c>
      <c r="I16" s="14">
        <v>481.1</v>
      </c>
      <c r="J16" s="14">
        <v>1.07</v>
      </c>
      <c r="K16" s="15">
        <v>2.2400000000000002</v>
      </c>
      <c r="L16" s="14">
        <v>3045.4</v>
      </c>
    </row>
    <row r="17" spans="1:12" s="14" customFormat="1" ht="29.25" customHeight="1" x14ac:dyDescent="0.2">
      <c r="A17" s="30" t="s">
        <v>14</v>
      </c>
      <c r="B17" s="31" t="s">
        <v>15</v>
      </c>
      <c r="C17" s="32"/>
      <c r="D17" s="33"/>
      <c r="E17" s="32"/>
      <c r="F17" s="34"/>
      <c r="G17" s="32"/>
      <c r="H17" s="32"/>
      <c r="K17" s="15"/>
    </row>
    <row r="18" spans="1:12" s="14" customFormat="1" ht="15" x14ac:dyDescent="0.2">
      <c r="A18" s="30" t="s">
        <v>16</v>
      </c>
      <c r="B18" s="31" t="s">
        <v>15</v>
      </c>
      <c r="C18" s="32"/>
      <c r="D18" s="33"/>
      <c r="E18" s="32"/>
      <c r="F18" s="34"/>
      <c r="G18" s="32"/>
      <c r="H18" s="32"/>
      <c r="K18" s="15"/>
    </row>
    <row r="19" spans="1:12" s="14" customFormat="1" ht="15" x14ac:dyDescent="0.2">
      <c r="A19" s="30" t="s">
        <v>17</v>
      </c>
      <c r="B19" s="31" t="s">
        <v>18</v>
      </c>
      <c r="C19" s="32"/>
      <c r="D19" s="33"/>
      <c r="E19" s="32"/>
      <c r="F19" s="34"/>
      <c r="G19" s="32"/>
      <c r="H19" s="32"/>
      <c r="K19" s="15"/>
    </row>
    <row r="20" spans="1:12" s="14" customFormat="1" ht="15" x14ac:dyDescent="0.2">
      <c r="A20" s="30" t="s">
        <v>19</v>
      </c>
      <c r="B20" s="31" t="s">
        <v>15</v>
      </c>
      <c r="C20" s="32"/>
      <c r="D20" s="33"/>
      <c r="E20" s="32"/>
      <c r="F20" s="34"/>
      <c r="G20" s="32"/>
      <c r="H20" s="32"/>
      <c r="K20" s="15"/>
    </row>
    <row r="21" spans="1:12" s="14" customFormat="1" ht="15" x14ac:dyDescent="0.2">
      <c r="A21" s="24" t="s">
        <v>139</v>
      </c>
      <c r="B21" s="31"/>
      <c r="C21" s="32"/>
      <c r="D21" s="33"/>
      <c r="E21" s="32"/>
      <c r="F21" s="34"/>
      <c r="G21" s="32"/>
      <c r="H21" s="26">
        <v>2.83</v>
      </c>
      <c r="K21" s="15"/>
    </row>
    <row r="22" spans="1:12" s="14" customFormat="1" ht="15" x14ac:dyDescent="0.2">
      <c r="A22" s="30" t="s">
        <v>137</v>
      </c>
      <c r="B22" s="31" t="s">
        <v>15</v>
      </c>
      <c r="C22" s="32"/>
      <c r="D22" s="33"/>
      <c r="E22" s="32"/>
      <c r="F22" s="34"/>
      <c r="G22" s="32"/>
      <c r="H22" s="32">
        <v>0.12</v>
      </c>
      <c r="K22" s="15"/>
    </row>
    <row r="23" spans="1:12" s="14" customFormat="1" ht="15" x14ac:dyDescent="0.2">
      <c r="A23" s="24" t="s">
        <v>139</v>
      </c>
      <c r="B23" s="31"/>
      <c r="C23" s="32"/>
      <c r="D23" s="33"/>
      <c r="E23" s="32"/>
      <c r="F23" s="34"/>
      <c r="G23" s="32"/>
      <c r="H23" s="26">
        <f>H22</f>
        <v>0.12</v>
      </c>
      <c r="K23" s="15"/>
    </row>
    <row r="24" spans="1:12" s="47" customFormat="1" ht="21" customHeight="1" x14ac:dyDescent="0.2">
      <c r="A24" s="46" t="s">
        <v>33</v>
      </c>
      <c r="B24" s="25" t="s">
        <v>34</v>
      </c>
      <c r="C24" s="26">
        <f>F24*12</f>
        <v>0</v>
      </c>
      <c r="D24" s="38">
        <f>G24*I24</f>
        <v>4329.8999999999996</v>
      </c>
      <c r="E24" s="26">
        <f>H24*12</f>
        <v>9</v>
      </c>
      <c r="F24" s="48"/>
      <c r="G24" s="26">
        <f>H24*12</f>
        <v>9</v>
      </c>
      <c r="H24" s="26">
        <v>0.75</v>
      </c>
      <c r="I24" s="14">
        <v>481.1</v>
      </c>
      <c r="J24" s="14">
        <v>1.07</v>
      </c>
      <c r="K24" s="15">
        <v>0.6</v>
      </c>
      <c r="L24" s="47">
        <v>3045.4</v>
      </c>
    </row>
    <row r="25" spans="1:12" s="14" customFormat="1" ht="15" x14ac:dyDescent="0.2">
      <c r="A25" s="46" t="s">
        <v>35</v>
      </c>
      <c r="B25" s="25" t="s">
        <v>36</v>
      </c>
      <c r="C25" s="26">
        <f>F25*12</f>
        <v>0</v>
      </c>
      <c r="D25" s="38">
        <f>G25*I25</f>
        <v>14144.34</v>
      </c>
      <c r="E25" s="26">
        <f>H25*12</f>
        <v>29.4</v>
      </c>
      <c r="F25" s="48"/>
      <c r="G25" s="26">
        <f>H25*12</f>
        <v>29.4</v>
      </c>
      <c r="H25" s="26">
        <v>2.4500000000000002</v>
      </c>
      <c r="I25" s="14">
        <v>481.1</v>
      </c>
      <c r="J25" s="14">
        <v>1.07</v>
      </c>
      <c r="K25" s="15">
        <v>1.94</v>
      </c>
      <c r="L25" s="14">
        <v>3045.4</v>
      </c>
    </row>
    <row r="26" spans="1:12" s="22" customFormat="1" ht="30" x14ac:dyDescent="0.2">
      <c r="A26" s="46" t="s">
        <v>57</v>
      </c>
      <c r="B26" s="25" t="s">
        <v>13</v>
      </c>
      <c r="C26" s="50"/>
      <c r="D26" s="38">
        <f>2042.21*I26/L26</f>
        <v>322.62</v>
      </c>
      <c r="E26" s="50"/>
      <c r="F26" s="48"/>
      <c r="G26" s="26">
        <f t="shared" ref="G26:G31" si="0">D26/I26</f>
        <v>0.67</v>
      </c>
      <c r="H26" s="26">
        <f t="shared" ref="H26:H31" si="1">G26/12</f>
        <v>0.06</v>
      </c>
      <c r="I26" s="14">
        <v>481.1</v>
      </c>
      <c r="J26" s="14">
        <v>1.07</v>
      </c>
      <c r="K26" s="15">
        <v>0.04</v>
      </c>
      <c r="L26" s="22">
        <v>3045.4</v>
      </c>
    </row>
    <row r="27" spans="1:12" s="22" customFormat="1" ht="30.75" customHeight="1" x14ac:dyDescent="0.2">
      <c r="A27" s="46" t="s">
        <v>58</v>
      </c>
      <c r="B27" s="25" t="s">
        <v>13</v>
      </c>
      <c r="C27" s="50"/>
      <c r="D27" s="38">
        <f>2042.21*I27/L27</f>
        <v>322.62</v>
      </c>
      <c r="E27" s="50"/>
      <c r="F27" s="48"/>
      <c r="G27" s="26">
        <f t="shared" si="0"/>
        <v>0.67</v>
      </c>
      <c r="H27" s="26">
        <f t="shared" si="1"/>
        <v>0.06</v>
      </c>
      <c r="I27" s="14">
        <v>481.1</v>
      </c>
      <c r="J27" s="14">
        <v>1.07</v>
      </c>
      <c r="K27" s="15">
        <v>0.04</v>
      </c>
      <c r="L27" s="22">
        <v>3045.4</v>
      </c>
    </row>
    <row r="28" spans="1:12" s="22" customFormat="1" ht="18.75" customHeight="1" x14ac:dyDescent="0.2">
      <c r="A28" s="46" t="s">
        <v>59</v>
      </c>
      <c r="B28" s="25" t="s">
        <v>13</v>
      </c>
      <c r="C28" s="50"/>
      <c r="D28" s="38">
        <f>12896.1*I28/L28</f>
        <v>2037.27</v>
      </c>
      <c r="E28" s="50"/>
      <c r="F28" s="48"/>
      <c r="G28" s="26">
        <f t="shared" si="0"/>
        <v>4.2300000000000004</v>
      </c>
      <c r="H28" s="26">
        <f t="shared" si="1"/>
        <v>0.35</v>
      </c>
      <c r="I28" s="14">
        <v>481.1</v>
      </c>
      <c r="J28" s="14">
        <v>1.07</v>
      </c>
      <c r="K28" s="15">
        <v>0.28000000000000003</v>
      </c>
      <c r="L28" s="22">
        <v>3045.4</v>
      </c>
    </row>
    <row r="29" spans="1:12" s="22" customFormat="1" ht="30" hidden="1" x14ac:dyDescent="0.2">
      <c r="A29" s="46" t="s">
        <v>60</v>
      </c>
      <c r="B29" s="25" t="s">
        <v>28</v>
      </c>
      <c r="C29" s="50"/>
      <c r="D29" s="38">
        <f ca="1">G29*I29</f>
        <v>0</v>
      </c>
      <c r="E29" s="50"/>
      <c r="F29" s="48"/>
      <c r="G29" s="26">
        <f t="shared" ca="1" si="0"/>
        <v>3.59</v>
      </c>
      <c r="H29" s="26">
        <f t="shared" ca="1" si="1"/>
        <v>0.3</v>
      </c>
      <c r="I29" s="14">
        <v>481.1</v>
      </c>
      <c r="J29" s="14">
        <v>1.07</v>
      </c>
      <c r="K29" s="15">
        <v>0</v>
      </c>
    </row>
    <row r="30" spans="1:12" s="22" customFormat="1" ht="30" hidden="1" x14ac:dyDescent="0.2">
      <c r="A30" s="46" t="s">
        <v>61</v>
      </c>
      <c r="B30" s="25" t="s">
        <v>28</v>
      </c>
      <c r="C30" s="50"/>
      <c r="D30" s="38">
        <f ca="1">G30*I30</f>
        <v>0</v>
      </c>
      <c r="E30" s="50"/>
      <c r="F30" s="48"/>
      <c r="G30" s="26">
        <f t="shared" ca="1" si="0"/>
        <v>3.59</v>
      </c>
      <c r="H30" s="26">
        <f t="shared" ca="1" si="1"/>
        <v>0.3</v>
      </c>
      <c r="I30" s="14">
        <v>481.1</v>
      </c>
      <c r="J30" s="14">
        <v>1.07</v>
      </c>
      <c r="K30" s="15">
        <v>0</v>
      </c>
    </row>
    <row r="31" spans="1:12" s="22" customFormat="1" ht="30" hidden="1" x14ac:dyDescent="0.2">
      <c r="A31" s="46" t="s">
        <v>62</v>
      </c>
      <c r="B31" s="25" t="s">
        <v>28</v>
      </c>
      <c r="C31" s="50"/>
      <c r="D31" s="38">
        <f ca="1">G31*I31</f>
        <v>0</v>
      </c>
      <c r="E31" s="50"/>
      <c r="F31" s="48"/>
      <c r="G31" s="26">
        <f t="shared" ca="1" si="0"/>
        <v>3.59</v>
      </c>
      <c r="H31" s="26">
        <f t="shared" ca="1" si="1"/>
        <v>0.3</v>
      </c>
      <c r="I31" s="14">
        <v>481.1</v>
      </c>
      <c r="J31" s="14">
        <v>1.07</v>
      </c>
      <c r="K31" s="15">
        <v>0</v>
      </c>
    </row>
    <row r="32" spans="1:12" s="14" customFormat="1" ht="15" x14ac:dyDescent="0.2">
      <c r="A32" s="46" t="s">
        <v>64</v>
      </c>
      <c r="B32" s="25" t="s">
        <v>65</v>
      </c>
      <c r="C32" s="50">
        <f>F32*12</f>
        <v>0</v>
      </c>
      <c r="D32" s="38">
        <f>G32*I32</f>
        <v>346.39</v>
      </c>
      <c r="E32" s="50">
        <f>H32*12</f>
        <v>0.72</v>
      </c>
      <c r="F32" s="48"/>
      <c r="G32" s="26">
        <f>H32*12</f>
        <v>0.72</v>
      </c>
      <c r="H32" s="26">
        <v>0.06</v>
      </c>
      <c r="I32" s="14">
        <v>481.1</v>
      </c>
      <c r="J32" s="14">
        <v>1.07</v>
      </c>
      <c r="K32" s="15">
        <v>0.03</v>
      </c>
      <c r="L32" s="14">
        <v>3045.4</v>
      </c>
    </row>
    <row r="33" spans="1:14" s="14" customFormat="1" ht="15" x14ac:dyDescent="0.2">
      <c r="A33" s="46" t="s">
        <v>66</v>
      </c>
      <c r="B33" s="51" t="s">
        <v>67</v>
      </c>
      <c r="C33" s="52">
        <f>F33*12</f>
        <v>0</v>
      </c>
      <c r="D33" s="38">
        <f t="shared" ref="D33:D34" si="2">G33*I33</f>
        <v>230.93</v>
      </c>
      <c r="E33" s="50">
        <f t="shared" ref="E33:E34" si="3">H33*12</f>
        <v>0.48</v>
      </c>
      <c r="F33" s="48"/>
      <c r="G33" s="26">
        <f t="shared" ref="G33:G34" si="4">H33*12</f>
        <v>0.48</v>
      </c>
      <c r="H33" s="26">
        <v>0.04</v>
      </c>
      <c r="I33" s="14">
        <v>481.1</v>
      </c>
      <c r="J33" s="14">
        <v>1.07</v>
      </c>
      <c r="K33" s="15">
        <v>0.02</v>
      </c>
      <c r="L33" s="14">
        <v>3045.4</v>
      </c>
    </row>
    <row r="34" spans="1:14" s="47" customFormat="1" ht="30" x14ac:dyDescent="0.2">
      <c r="A34" s="46" t="s">
        <v>68</v>
      </c>
      <c r="B34" s="25" t="s">
        <v>69</v>
      </c>
      <c r="C34" s="50">
        <f>F34*12</f>
        <v>0</v>
      </c>
      <c r="D34" s="38">
        <f t="shared" si="2"/>
        <v>288.66000000000003</v>
      </c>
      <c r="E34" s="50">
        <f t="shared" si="3"/>
        <v>0.6</v>
      </c>
      <c r="F34" s="48"/>
      <c r="G34" s="26">
        <f t="shared" si="4"/>
        <v>0.6</v>
      </c>
      <c r="H34" s="26">
        <v>0.05</v>
      </c>
      <c r="I34" s="14">
        <v>481.1</v>
      </c>
      <c r="J34" s="14">
        <v>1.07</v>
      </c>
      <c r="K34" s="15">
        <v>0.03</v>
      </c>
      <c r="L34" s="47">
        <v>3045.4</v>
      </c>
    </row>
    <row r="35" spans="1:14" s="47" customFormat="1" ht="15" x14ac:dyDescent="0.2">
      <c r="A35" s="46" t="s">
        <v>70</v>
      </c>
      <c r="B35" s="25"/>
      <c r="C35" s="26"/>
      <c r="D35" s="26">
        <f>D37+D38+D39+D40+D41+D42+D43+D44+D45+D46</f>
        <v>3838.39</v>
      </c>
      <c r="E35" s="26" t="e">
        <f>E37+E38+#REF!+E40+E41+E42+E43+E44+E45+E46+#REF!+#REF!</f>
        <v>#REF!</v>
      </c>
      <c r="F35" s="26" t="e">
        <f>F37+F38+#REF!+F40+F41+F42+F43+F44+F45+F46+#REF!+#REF!</f>
        <v>#REF!</v>
      </c>
      <c r="G35" s="26">
        <f>D35/I35</f>
        <v>7.98</v>
      </c>
      <c r="H35" s="26">
        <f>G35/12</f>
        <v>0.67</v>
      </c>
      <c r="I35" s="14">
        <v>481.1</v>
      </c>
      <c r="J35" s="14">
        <v>1.07</v>
      </c>
      <c r="K35" s="15">
        <v>0.71</v>
      </c>
    </row>
    <row r="36" spans="1:14" s="22" customFormat="1" ht="15" hidden="1" x14ac:dyDescent="0.2">
      <c r="A36" s="53"/>
      <c r="B36" s="37"/>
      <c r="C36" s="54"/>
      <c r="D36" s="55"/>
      <c r="E36" s="54"/>
      <c r="F36" s="56"/>
      <c r="G36" s="54"/>
      <c r="H36" s="54"/>
      <c r="I36" s="14">
        <v>481.1</v>
      </c>
      <c r="J36" s="14"/>
      <c r="K36" s="15"/>
      <c r="N36" s="47"/>
    </row>
    <row r="37" spans="1:14" s="22" customFormat="1" ht="15" x14ac:dyDescent="0.2">
      <c r="A37" s="53" t="s">
        <v>71</v>
      </c>
      <c r="B37" s="37" t="s">
        <v>51</v>
      </c>
      <c r="C37" s="54"/>
      <c r="D37" s="55">
        <f>325.83*I37/L37</f>
        <v>51.47</v>
      </c>
      <c r="E37" s="54"/>
      <c r="F37" s="56"/>
      <c r="G37" s="54"/>
      <c r="H37" s="54"/>
      <c r="I37" s="14">
        <v>481.1</v>
      </c>
      <c r="J37" s="14">
        <v>1.07</v>
      </c>
      <c r="K37" s="15">
        <v>0.01</v>
      </c>
      <c r="L37" s="22">
        <v>3045.4</v>
      </c>
      <c r="N37" s="47"/>
    </row>
    <row r="38" spans="1:14" s="22" customFormat="1" ht="15" x14ac:dyDescent="0.2">
      <c r="A38" s="53" t="s">
        <v>72</v>
      </c>
      <c r="B38" s="37" t="s">
        <v>53</v>
      </c>
      <c r="C38" s="54">
        <f>F38*12</f>
        <v>0</v>
      </c>
      <c r="D38" s="55">
        <f>918.96*I38/L38</f>
        <v>145.16999999999999</v>
      </c>
      <c r="E38" s="54">
        <f>H38*12</f>
        <v>0</v>
      </c>
      <c r="F38" s="56"/>
      <c r="G38" s="54"/>
      <c r="H38" s="54"/>
      <c r="I38" s="14">
        <v>481.1</v>
      </c>
      <c r="J38" s="14">
        <v>1.07</v>
      </c>
      <c r="K38" s="15">
        <v>0.01</v>
      </c>
      <c r="L38" s="22">
        <v>3045.4</v>
      </c>
      <c r="N38" s="47"/>
    </row>
    <row r="39" spans="1:14" s="22" customFormat="1" ht="15" x14ac:dyDescent="0.2">
      <c r="A39" s="53" t="s">
        <v>132</v>
      </c>
      <c r="B39" s="60" t="s">
        <v>51</v>
      </c>
      <c r="C39" s="54"/>
      <c r="D39" s="55">
        <f>1637.48*I39/L39</f>
        <v>258.68</v>
      </c>
      <c r="E39" s="54"/>
      <c r="F39" s="56"/>
      <c r="G39" s="54"/>
      <c r="H39" s="54"/>
      <c r="I39" s="14">
        <v>481.1</v>
      </c>
      <c r="J39" s="14"/>
      <c r="K39" s="15"/>
      <c r="L39" s="22">
        <v>3045.4</v>
      </c>
      <c r="N39" s="47"/>
    </row>
    <row r="40" spans="1:14" s="22" customFormat="1" ht="15" x14ac:dyDescent="0.2">
      <c r="A40" s="53" t="s">
        <v>73</v>
      </c>
      <c r="B40" s="37" t="s">
        <v>51</v>
      </c>
      <c r="C40" s="54">
        <f>F40*12</f>
        <v>0</v>
      </c>
      <c r="D40" s="55">
        <f>1751.22*I40/L40</f>
        <v>276.64999999999998</v>
      </c>
      <c r="E40" s="54">
        <f>H40*12</f>
        <v>0</v>
      </c>
      <c r="F40" s="56"/>
      <c r="G40" s="54"/>
      <c r="H40" s="54"/>
      <c r="I40" s="14">
        <v>481.1</v>
      </c>
      <c r="J40" s="14">
        <v>1.07</v>
      </c>
      <c r="K40" s="15">
        <v>0.02</v>
      </c>
      <c r="L40" s="22">
        <v>3045.4</v>
      </c>
      <c r="N40" s="47"/>
    </row>
    <row r="41" spans="1:14" s="22" customFormat="1" ht="15" x14ac:dyDescent="0.2">
      <c r="A41" s="53" t="s">
        <v>74</v>
      </c>
      <c r="B41" s="37" t="s">
        <v>51</v>
      </c>
      <c r="C41" s="54">
        <f>F41*12</f>
        <v>0</v>
      </c>
      <c r="D41" s="55">
        <f>5855.59*I41/L41</f>
        <v>925.04</v>
      </c>
      <c r="E41" s="54">
        <f>H41*12</f>
        <v>0</v>
      </c>
      <c r="F41" s="56"/>
      <c r="G41" s="54"/>
      <c r="H41" s="54"/>
      <c r="I41" s="14">
        <v>481.1</v>
      </c>
      <c r="J41" s="14">
        <v>1.07</v>
      </c>
      <c r="K41" s="15">
        <v>0.1</v>
      </c>
      <c r="L41" s="22">
        <v>3045.4</v>
      </c>
      <c r="N41" s="47"/>
    </row>
    <row r="42" spans="1:14" s="22" customFormat="1" ht="15" x14ac:dyDescent="0.2">
      <c r="A42" s="53" t="s">
        <v>133</v>
      </c>
      <c r="B42" s="37" t="s">
        <v>51</v>
      </c>
      <c r="C42" s="54">
        <f>F42*12</f>
        <v>0</v>
      </c>
      <c r="D42" s="55">
        <f>918.95*I42/L42</f>
        <v>145.16999999999999</v>
      </c>
      <c r="E42" s="54">
        <f>H42*12</f>
        <v>0</v>
      </c>
      <c r="F42" s="56"/>
      <c r="G42" s="54"/>
      <c r="H42" s="54"/>
      <c r="I42" s="14">
        <v>481.1</v>
      </c>
      <c r="J42" s="14">
        <v>1.07</v>
      </c>
      <c r="K42" s="15">
        <v>0.02</v>
      </c>
      <c r="L42" s="22">
        <v>3045.4</v>
      </c>
      <c r="N42" s="47"/>
    </row>
    <row r="43" spans="1:14" s="22" customFormat="1" ht="15" x14ac:dyDescent="0.2">
      <c r="A43" s="53" t="s">
        <v>75</v>
      </c>
      <c r="B43" s="37" t="s">
        <v>51</v>
      </c>
      <c r="C43" s="54"/>
      <c r="D43" s="55">
        <f>437.79*I43/L43</f>
        <v>69.16</v>
      </c>
      <c r="E43" s="54"/>
      <c r="F43" s="56"/>
      <c r="G43" s="54"/>
      <c r="H43" s="54"/>
      <c r="I43" s="14">
        <v>481.1</v>
      </c>
      <c r="J43" s="14">
        <v>1.07</v>
      </c>
      <c r="K43" s="15">
        <v>0.01</v>
      </c>
      <c r="L43" s="22">
        <v>3045.4</v>
      </c>
      <c r="N43" s="47"/>
    </row>
    <row r="44" spans="1:14" s="22" customFormat="1" ht="15" x14ac:dyDescent="0.2">
      <c r="A44" s="53" t="s">
        <v>76</v>
      </c>
      <c r="B44" s="37" t="s">
        <v>53</v>
      </c>
      <c r="C44" s="54"/>
      <c r="D44" s="107">
        <f>3502.46*I44/L44</f>
        <v>553.29999999999995</v>
      </c>
      <c r="E44" s="54"/>
      <c r="F44" s="56"/>
      <c r="G44" s="54"/>
      <c r="H44" s="54"/>
      <c r="I44" s="14">
        <v>481.1</v>
      </c>
      <c r="J44" s="14">
        <v>1.07</v>
      </c>
      <c r="K44" s="15">
        <v>0.04</v>
      </c>
      <c r="L44" s="22">
        <v>3045.4</v>
      </c>
      <c r="N44" s="47"/>
    </row>
    <row r="45" spans="1:14" s="22" customFormat="1" ht="25.5" x14ac:dyDescent="0.2">
      <c r="A45" s="53" t="s">
        <v>77</v>
      </c>
      <c r="B45" s="37" t="s">
        <v>51</v>
      </c>
      <c r="C45" s="54">
        <f>F45*12</f>
        <v>0</v>
      </c>
      <c r="D45" s="55">
        <f>2891.57*I45/L45</f>
        <v>456.8</v>
      </c>
      <c r="E45" s="54">
        <f>H45*12</f>
        <v>0</v>
      </c>
      <c r="F45" s="56"/>
      <c r="G45" s="54"/>
      <c r="H45" s="54"/>
      <c r="I45" s="14">
        <v>481.1</v>
      </c>
      <c r="J45" s="14">
        <v>1.07</v>
      </c>
      <c r="K45" s="15">
        <v>0.06</v>
      </c>
      <c r="L45" s="22">
        <v>3045.4</v>
      </c>
      <c r="N45" s="47"/>
    </row>
    <row r="46" spans="1:14" s="22" customFormat="1" ht="15" x14ac:dyDescent="0.2">
      <c r="A46" s="53" t="s">
        <v>78</v>
      </c>
      <c r="B46" s="37" t="s">
        <v>51</v>
      </c>
      <c r="C46" s="54"/>
      <c r="D46" s="55">
        <f>6057.57*I46/L46</f>
        <v>956.95</v>
      </c>
      <c r="E46" s="54"/>
      <c r="F46" s="56"/>
      <c r="G46" s="54"/>
      <c r="H46" s="54"/>
      <c r="I46" s="14">
        <v>481.1</v>
      </c>
      <c r="J46" s="14">
        <v>1.07</v>
      </c>
      <c r="K46" s="15">
        <v>0.01</v>
      </c>
      <c r="L46" s="22">
        <v>3045.4</v>
      </c>
      <c r="N46" s="47"/>
    </row>
    <row r="47" spans="1:14" s="22" customFormat="1" ht="15" hidden="1" x14ac:dyDescent="0.2">
      <c r="A47" s="53"/>
      <c r="B47" s="37"/>
      <c r="C47" s="59"/>
      <c r="D47" s="55"/>
      <c r="E47" s="59"/>
      <c r="F47" s="56"/>
      <c r="G47" s="54"/>
      <c r="H47" s="54"/>
      <c r="I47" s="14">
        <v>481.1</v>
      </c>
      <c r="J47" s="14"/>
      <c r="K47" s="15"/>
      <c r="N47" s="47"/>
    </row>
    <row r="48" spans="1:14" s="22" customFormat="1" ht="15" hidden="1" x14ac:dyDescent="0.2">
      <c r="A48" s="53"/>
      <c r="B48" s="37"/>
      <c r="C48" s="54"/>
      <c r="D48" s="55"/>
      <c r="E48" s="54"/>
      <c r="F48" s="56"/>
      <c r="G48" s="54"/>
      <c r="H48" s="54"/>
      <c r="I48" s="14">
        <v>481.1</v>
      </c>
      <c r="J48" s="14"/>
      <c r="K48" s="15"/>
      <c r="N48" s="47"/>
    </row>
    <row r="49" spans="1:14" s="47" customFormat="1" ht="30" x14ac:dyDescent="0.2">
      <c r="A49" s="46" t="s">
        <v>79</v>
      </c>
      <c r="B49" s="25"/>
      <c r="C49" s="26"/>
      <c r="D49" s="26">
        <f>D51+D53</f>
        <v>4100.82</v>
      </c>
      <c r="E49" s="26" t="e">
        <f>#REF!+#REF!+#REF!+#REF!+#REF!+#REF!+E53</f>
        <v>#REF!</v>
      </c>
      <c r="F49" s="26" t="e">
        <f>#REF!+#REF!+#REF!+#REF!+#REF!+#REF!+F53</f>
        <v>#REF!</v>
      </c>
      <c r="G49" s="26">
        <f>D49/I49</f>
        <v>8.52</v>
      </c>
      <c r="H49" s="26">
        <f>G49/12</f>
        <v>0.71</v>
      </c>
      <c r="I49" s="14">
        <v>481.1</v>
      </c>
      <c r="J49" s="14">
        <v>1.07</v>
      </c>
      <c r="K49" s="15">
        <v>0.85</v>
      </c>
    </row>
    <row r="50" spans="1:14" s="22" customFormat="1" ht="25.5" hidden="1" x14ac:dyDescent="0.2">
      <c r="A50" s="53" t="s">
        <v>80</v>
      </c>
      <c r="B50" s="60" t="s">
        <v>51</v>
      </c>
      <c r="C50" s="54"/>
      <c r="D50" s="55"/>
      <c r="E50" s="54"/>
      <c r="F50" s="56"/>
      <c r="G50" s="54"/>
      <c r="H50" s="54"/>
      <c r="I50" s="14">
        <v>481.1</v>
      </c>
      <c r="J50" s="14">
        <v>1.07</v>
      </c>
      <c r="K50" s="15">
        <v>0.04</v>
      </c>
      <c r="N50" s="47"/>
    </row>
    <row r="51" spans="1:14" s="22" customFormat="1" ht="15" x14ac:dyDescent="0.2">
      <c r="A51" s="53" t="s">
        <v>157</v>
      </c>
      <c r="B51" s="60" t="s">
        <v>53</v>
      </c>
      <c r="C51" s="54"/>
      <c r="D51" s="55">
        <f>(9865*2)*I51/L51</f>
        <v>3116.87</v>
      </c>
      <c r="E51" s="54"/>
      <c r="F51" s="56"/>
      <c r="G51" s="54"/>
      <c r="H51" s="54"/>
      <c r="I51" s="14">
        <v>481.1</v>
      </c>
      <c r="J51" s="14"/>
      <c r="K51" s="15"/>
      <c r="L51" s="22">
        <v>3045.4</v>
      </c>
      <c r="N51" s="47"/>
    </row>
    <row r="52" spans="1:14" s="22" customFormat="1" ht="25.5" hidden="1" x14ac:dyDescent="0.2">
      <c r="A52" s="53" t="s">
        <v>87</v>
      </c>
      <c r="B52" s="37" t="s">
        <v>28</v>
      </c>
      <c r="C52" s="54"/>
      <c r="D52" s="55">
        <f>G52*I52</f>
        <v>0</v>
      </c>
      <c r="E52" s="54"/>
      <c r="F52" s="56"/>
      <c r="G52" s="54"/>
      <c r="H52" s="54"/>
      <c r="I52" s="14">
        <v>481.1</v>
      </c>
      <c r="J52" s="14">
        <v>1.07</v>
      </c>
      <c r="K52" s="15">
        <v>0.27</v>
      </c>
      <c r="N52" s="47"/>
    </row>
    <row r="53" spans="1:14" s="22" customFormat="1" ht="15" x14ac:dyDescent="0.2">
      <c r="A53" s="53" t="s">
        <v>88</v>
      </c>
      <c r="B53" s="37" t="s">
        <v>13</v>
      </c>
      <c r="C53" s="59"/>
      <c r="D53" s="55">
        <f>6228.48*I53/L53</f>
        <v>983.95</v>
      </c>
      <c r="E53" s="59"/>
      <c r="F53" s="56"/>
      <c r="G53" s="54"/>
      <c r="H53" s="54"/>
      <c r="I53" s="14">
        <v>481.1</v>
      </c>
      <c r="J53" s="14">
        <v>1.07</v>
      </c>
      <c r="K53" s="15">
        <v>0.14000000000000001</v>
      </c>
      <c r="L53" s="22">
        <v>3045.4</v>
      </c>
      <c r="N53" s="47"/>
    </row>
    <row r="54" spans="1:14" s="68" customFormat="1" ht="15" hidden="1" x14ac:dyDescent="0.2">
      <c r="A54" s="62" t="s">
        <v>89</v>
      </c>
      <c r="B54" s="63" t="s">
        <v>51</v>
      </c>
      <c r="C54" s="64"/>
      <c r="D54" s="65">
        <f>G54*I54</f>
        <v>0</v>
      </c>
      <c r="E54" s="64"/>
      <c r="F54" s="66"/>
      <c r="G54" s="64">
        <f>H54*12</f>
        <v>0</v>
      </c>
      <c r="H54" s="64">
        <v>0</v>
      </c>
      <c r="I54" s="14">
        <v>481.1</v>
      </c>
      <c r="J54" s="14">
        <v>1.07</v>
      </c>
      <c r="K54" s="15">
        <v>0</v>
      </c>
      <c r="N54" s="47"/>
    </row>
    <row r="55" spans="1:14" s="22" customFormat="1" ht="30" x14ac:dyDescent="0.2">
      <c r="A55" s="46" t="s">
        <v>90</v>
      </c>
      <c r="B55" s="37"/>
      <c r="C55" s="54"/>
      <c r="D55" s="26">
        <v>0</v>
      </c>
      <c r="E55" s="26" t="e">
        <f>#REF!+#REF!+#REF!</f>
        <v>#REF!</v>
      </c>
      <c r="F55" s="26" t="e">
        <f>#REF!+#REF!+#REF!</f>
        <v>#REF!</v>
      </c>
      <c r="G55" s="26">
        <f>D55/I55</f>
        <v>0</v>
      </c>
      <c r="H55" s="26">
        <f>G55/12</f>
        <v>0</v>
      </c>
      <c r="I55" s="14">
        <v>481.1</v>
      </c>
      <c r="J55" s="14">
        <v>1.07</v>
      </c>
      <c r="K55" s="15">
        <v>0.41</v>
      </c>
      <c r="N55" s="47"/>
    </row>
    <row r="56" spans="1:14" s="22" customFormat="1" ht="15" x14ac:dyDescent="0.2">
      <c r="A56" s="46" t="s">
        <v>92</v>
      </c>
      <c r="B56" s="37"/>
      <c r="C56" s="54"/>
      <c r="D56" s="26">
        <f>D58</f>
        <v>144.59</v>
      </c>
      <c r="E56" s="26" t="e">
        <f>#REF!+E58</f>
        <v>#REF!</v>
      </c>
      <c r="F56" s="26" t="e">
        <f>#REF!+F58</f>
        <v>#REF!</v>
      </c>
      <c r="G56" s="26">
        <f>D56/I56</f>
        <v>0.3</v>
      </c>
      <c r="H56" s="26">
        <f>G56/12</f>
        <v>0.03</v>
      </c>
      <c r="I56" s="14">
        <v>481.1</v>
      </c>
      <c r="J56" s="14">
        <v>1.07</v>
      </c>
      <c r="K56" s="15">
        <v>0.18</v>
      </c>
      <c r="N56" s="47"/>
    </row>
    <row r="57" spans="1:14" s="22" customFormat="1" ht="15" hidden="1" x14ac:dyDescent="0.2">
      <c r="A57" s="53" t="s">
        <v>93</v>
      </c>
      <c r="B57" s="37" t="s">
        <v>13</v>
      </c>
      <c r="C57" s="54"/>
      <c r="D57" s="55">
        <f t="shared" ref="D57:D63" si="5">G57*I57</f>
        <v>0</v>
      </c>
      <c r="E57" s="54"/>
      <c r="F57" s="56"/>
      <c r="G57" s="54">
        <f t="shared" ref="G57:G63" si="6">H57*12</f>
        <v>0</v>
      </c>
      <c r="H57" s="54">
        <v>0</v>
      </c>
      <c r="I57" s="14">
        <v>481.1</v>
      </c>
      <c r="J57" s="14">
        <v>1.07</v>
      </c>
      <c r="K57" s="15">
        <v>0</v>
      </c>
      <c r="N57" s="47"/>
    </row>
    <row r="58" spans="1:14" s="22" customFormat="1" ht="15" x14ac:dyDescent="0.2">
      <c r="A58" s="53" t="s">
        <v>95</v>
      </c>
      <c r="B58" s="37" t="s">
        <v>51</v>
      </c>
      <c r="C58" s="54"/>
      <c r="D58" s="55">
        <f>915.28*I58/L58</f>
        <v>144.59</v>
      </c>
      <c r="E58" s="54"/>
      <c r="F58" s="56"/>
      <c r="G58" s="54"/>
      <c r="H58" s="54"/>
      <c r="I58" s="14">
        <v>481.1</v>
      </c>
      <c r="J58" s="14">
        <v>1.07</v>
      </c>
      <c r="K58" s="15">
        <v>0.02</v>
      </c>
      <c r="L58" s="22">
        <v>3045.4</v>
      </c>
      <c r="N58" s="47"/>
    </row>
    <row r="59" spans="1:14" s="22" customFormat="1" ht="27.75" hidden="1" customHeight="1" x14ac:dyDescent="0.2">
      <c r="A59" s="53" t="s">
        <v>96</v>
      </c>
      <c r="B59" s="37" t="s">
        <v>28</v>
      </c>
      <c r="C59" s="54"/>
      <c r="D59" s="55">
        <f t="shared" si="5"/>
        <v>0</v>
      </c>
      <c r="E59" s="54"/>
      <c r="F59" s="56"/>
      <c r="G59" s="54">
        <f t="shared" si="6"/>
        <v>0</v>
      </c>
      <c r="H59" s="54">
        <v>0</v>
      </c>
      <c r="I59" s="14">
        <v>481.1</v>
      </c>
      <c r="J59" s="14">
        <v>1.07</v>
      </c>
      <c r="K59" s="15">
        <v>0</v>
      </c>
      <c r="N59" s="47"/>
    </row>
    <row r="60" spans="1:14" s="22" customFormat="1" ht="25.5" hidden="1" x14ac:dyDescent="0.2">
      <c r="A60" s="53" t="s">
        <v>97</v>
      </c>
      <c r="B60" s="37" t="s">
        <v>28</v>
      </c>
      <c r="C60" s="54"/>
      <c r="D60" s="55">
        <f t="shared" si="5"/>
        <v>0</v>
      </c>
      <c r="E60" s="54"/>
      <c r="F60" s="56"/>
      <c r="G60" s="54">
        <f t="shared" si="6"/>
        <v>0</v>
      </c>
      <c r="H60" s="54">
        <v>0</v>
      </c>
      <c r="I60" s="14">
        <v>481.1</v>
      </c>
      <c r="J60" s="14">
        <v>1.07</v>
      </c>
      <c r="K60" s="15">
        <v>0</v>
      </c>
      <c r="N60" s="47"/>
    </row>
    <row r="61" spans="1:14" s="22" customFormat="1" ht="25.5" hidden="1" x14ac:dyDescent="0.2">
      <c r="A61" s="53" t="s">
        <v>98</v>
      </c>
      <c r="B61" s="37" t="s">
        <v>28</v>
      </c>
      <c r="C61" s="54"/>
      <c r="D61" s="55">
        <f t="shared" si="5"/>
        <v>0</v>
      </c>
      <c r="E61" s="54"/>
      <c r="F61" s="56"/>
      <c r="G61" s="54">
        <f t="shared" si="6"/>
        <v>0</v>
      </c>
      <c r="H61" s="54">
        <v>0</v>
      </c>
      <c r="I61" s="14">
        <v>481.1</v>
      </c>
      <c r="J61" s="14">
        <v>1.07</v>
      </c>
      <c r="K61" s="15">
        <v>0</v>
      </c>
      <c r="N61" s="47"/>
    </row>
    <row r="62" spans="1:14" s="22" customFormat="1" ht="25.5" hidden="1" x14ac:dyDescent="0.2">
      <c r="A62" s="53" t="s">
        <v>99</v>
      </c>
      <c r="B62" s="37" t="s">
        <v>28</v>
      </c>
      <c r="C62" s="54"/>
      <c r="D62" s="55">
        <f t="shared" si="5"/>
        <v>0</v>
      </c>
      <c r="E62" s="54"/>
      <c r="F62" s="56"/>
      <c r="G62" s="54">
        <f t="shared" si="6"/>
        <v>0</v>
      </c>
      <c r="H62" s="54">
        <v>0</v>
      </c>
      <c r="I62" s="14">
        <v>481.1</v>
      </c>
      <c r="J62" s="14">
        <v>1.07</v>
      </c>
      <c r="K62" s="15">
        <v>0</v>
      </c>
      <c r="N62" s="47"/>
    </row>
    <row r="63" spans="1:14" s="22" customFormat="1" ht="25.5" hidden="1" x14ac:dyDescent="0.2">
      <c r="A63" s="53" t="s">
        <v>100</v>
      </c>
      <c r="B63" s="37" t="s">
        <v>28</v>
      </c>
      <c r="C63" s="54"/>
      <c r="D63" s="55">
        <f t="shared" si="5"/>
        <v>0</v>
      </c>
      <c r="E63" s="54"/>
      <c r="F63" s="56"/>
      <c r="G63" s="54">
        <f t="shared" si="6"/>
        <v>0</v>
      </c>
      <c r="H63" s="54">
        <v>0</v>
      </c>
      <c r="I63" s="14">
        <v>481.1</v>
      </c>
      <c r="J63" s="14">
        <v>1.07</v>
      </c>
      <c r="K63" s="15">
        <v>0</v>
      </c>
      <c r="N63" s="47"/>
    </row>
    <row r="64" spans="1:14" s="22" customFormat="1" ht="15" hidden="1" x14ac:dyDescent="0.2">
      <c r="A64" s="53" t="s">
        <v>101</v>
      </c>
      <c r="B64" s="41" t="s">
        <v>102</v>
      </c>
      <c r="C64" s="54"/>
      <c r="D64" s="108"/>
      <c r="E64" s="59"/>
      <c r="F64" s="108"/>
      <c r="G64" s="59"/>
      <c r="H64" s="59"/>
      <c r="I64" s="14">
        <v>481.1</v>
      </c>
      <c r="J64" s="14"/>
      <c r="K64" s="15"/>
      <c r="N64" s="47"/>
    </row>
    <row r="65" spans="1:14" s="22" customFormat="1" ht="15" x14ac:dyDescent="0.2">
      <c r="A65" s="46" t="s">
        <v>103</v>
      </c>
      <c r="B65" s="37"/>
      <c r="C65" s="54"/>
      <c r="D65" s="26">
        <f>D66+D67</f>
        <v>173.48</v>
      </c>
      <c r="E65" s="26" t="e">
        <f>E66+#REF!+E67</f>
        <v>#REF!</v>
      </c>
      <c r="F65" s="26" t="e">
        <f>F66+#REF!+F67</f>
        <v>#REF!</v>
      </c>
      <c r="G65" s="26">
        <f>D65/I65</f>
        <v>0.36</v>
      </c>
      <c r="H65" s="26">
        <f>G65/12</f>
        <v>0.03</v>
      </c>
      <c r="I65" s="14">
        <v>481.1</v>
      </c>
      <c r="J65" s="14">
        <v>1.07</v>
      </c>
      <c r="K65" s="15">
        <v>0.12</v>
      </c>
      <c r="N65" s="47"/>
    </row>
    <row r="66" spans="1:14" s="22" customFormat="1" ht="15" x14ac:dyDescent="0.2">
      <c r="A66" s="53" t="s">
        <v>104</v>
      </c>
      <c r="B66" s="37" t="s">
        <v>51</v>
      </c>
      <c r="C66" s="54"/>
      <c r="D66" s="55">
        <f>1098.16*I66/L66</f>
        <v>173.48</v>
      </c>
      <c r="E66" s="54"/>
      <c r="F66" s="56"/>
      <c r="G66" s="54"/>
      <c r="H66" s="54"/>
      <c r="I66" s="14">
        <v>481.1</v>
      </c>
      <c r="J66" s="14">
        <v>1.07</v>
      </c>
      <c r="K66" s="15">
        <v>0.02</v>
      </c>
      <c r="L66" s="22">
        <v>3045.4</v>
      </c>
      <c r="N66" s="47"/>
    </row>
    <row r="67" spans="1:14" s="22" customFormat="1" ht="15" hidden="1" x14ac:dyDescent="0.2">
      <c r="A67" s="53" t="s">
        <v>105</v>
      </c>
      <c r="B67" s="37" t="s">
        <v>51</v>
      </c>
      <c r="C67" s="54"/>
      <c r="D67" s="55"/>
      <c r="E67" s="54"/>
      <c r="F67" s="56"/>
      <c r="G67" s="54"/>
      <c r="H67" s="54"/>
      <c r="I67" s="14">
        <v>481.1</v>
      </c>
      <c r="J67" s="14">
        <v>1.07</v>
      </c>
      <c r="K67" s="15">
        <v>0.02</v>
      </c>
      <c r="N67" s="47"/>
    </row>
    <row r="68" spans="1:14" s="22" customFormat="1" ht="38.25" thickBot="1" x14ac:dyDescent="0.25">
      <c r="A68" s="69" t="s">
        <v>158</v>
      </c>
      <c r="B68" s="25" t="s">
        <v>28</v>
      </c>
      <c r="C68" s="129"/>
      <c r="D68" s="50">
        <f>G68*I68</f>
        <v>635.04999999999995</v>
      </c>
      <c r="E68" s="50"/>
      <c r="F68" s="50"/>
      <c r="G68" s="50">
        <f>12*H68</f>
        <v>1.32</v>
      </c>
      <c r="H68" s="50">
        <v>0.11</v>
      </c>
      <c r="I68" s="14">
        <v>481.1</v>
      </c>
      <c r="J68" s="14"/>
      <c r="K68" s="15"/>
      <c r="N68" s="47"/>
    </row>
    <row r="69" spans="1:14" s="14" customFormat="1" ht="20.25" thickBot="1" x14ac:dyDescent="0.45">
      <c r="A69" s="82" t="s">
        <v>124</v>
      </c>
      <c r="B69" s="83"/>
      <c r="C69" s="84" t="e">
        <f>F69*12</f>
        <v>#REF!</v>
      </c>
      <c r="D69" s="85">
        <f>D65+D56+D55+D49+D35+D34+D33+D32+D28+D27+D26+D25+D24+D16+D68</f>
        <v>47946</v>
      </c>
      <c r="E69" s="85" t="e">
        <f t="shared" ref="E69:H69" si="7">E65+E56+E55+E49+E35+E34+E33+E32+E28+E27+E26+E25+E24+E16+E68</f>
        <v>#REF!</v>
      </c>
      <c r="F69" s="85" t="e">
        <f t="shared" si="7"/>
        <v>#REF!</v>
      </c>
      <c r="G69" s="85">
        <f t="shared" si="7"/>
        <v>99.65</v>
      </c>
      <c r="H69" s="85">
        <f t="shared" si="7"/>
        <v>8.32</v>
      </c>
      <c r="I69" s="14">
        <v>481.1</v>
      </c>
      <c r="K69" s="15"/>
    </row>
    <row r="70" spans="1:14" s="90" customFormat="1" ht="20.25" hidden="1" thickBot="1" x14ac:dyDescent="0.25">
      <c r="A70" s="86" t="s">
        <v>125</v>
      </c>
      <c r="B70" s="87" t="s">
        <v>22</v>
      </c>
      <c r="C70" s="87" t="s">
        <v>126</v>
      </c>
      <c r="D70" s="88"/>
      <c r="E70" s="87" t="s">
        <v>126</v>
      </c>
      <c r="F70" s="89"/>
      <c r="G70" s="87" t="s">
        <v>126</v>
      </c>
      <c r="H70" s="89">
        <v>24.94</v>
      </c>
      <c r="K70" s="91"/>
    </row>
    <row r="71" spans="1:14" s="93" customFormat="1" x14ac:dyDescent="0.2">
      <c r="A71" s="92"/>
      <c r="K71" s="94"/>
    </row>
    <row r="72" spans="1:14" s="98" customFormat="1" ht="19.5" thickBot="1" x14ac:dyDescent="0.45">
      <c r="A72" s="95"/>
      <c r="B72" s="96"/>
      <c r="C72" s="97"/>
      <c r="D72" s="97"/>
      <c r="E72" s="97"/>
      <c r="F72" s="97"/>
      <c r="G72" s="97"/>
      <c r="H72" s="97"/>
      <c r="K72" s="99"/>
    </row>
    <row r="73" spans="1:14" s="98" customFormat="1" ht="30.75" thickBot="1" x14ac:dyDescent="0.45">
      <c r="A73" s="78" t="s">
        <v>127</v>
      </c>
      <c r="B73" s="83"/>
      <c r="C73" s="84">
        <f>F73*12</f>
        <v>0</v>
      </c>
      <c r="D73" s="84">
        <f>D76+D77+D78+D79+D80+D88</f>
        <v>9005.84</v>
      </c>
      <c r="E73" s="84">
        <f t="shared" ref="E73:H73" si="8">E76+E77+E78+E79+E80+E88</f>
        <v>0</v>
      </c>
      <c r="F73" s="84">
        <f t="shared" si="8"/>
        <v>0</v>
      </c>
      <c r="G73" s="84">
        <f t="shared" si="8"/>
        <v>18.72</v>
      </c>
      <c r="H73" s="84">
        <f t="shared" si="8"/>
        <v>1.56</v>
      </c>
      <c r="I73" s="14">
        <v>481.1</v>
      </c>
      <c r="K73" s="99"/>
    </row>
    <row r="74" spans="1:14" s="22" customFormat="1" ht="15" hidden="1" x14ac:dyDescent="0.2">
      <c r="A74" s="53"/>
      <c r="B74" s="37"/>
      <c r="C74" s="54"/>
      <c r="D74" s="55"/>
      <c r="E74" s="54"/>
      <c r="F74" s="56"/>
      <c r="G74" s="54"/>
      <c r="H74" s="54"/>
      <c r="I74" s="14">
        <v>481.1</v>
      </c>
      <c r="J74" s="14"/>
      <c r="K74" s="15"/>
    </row>
    <row r="75" spans="1:14" s="22" customFormat="1" ht="15" hidden="1" x14ac:dyDescent="0.2">
      <c r="A75" s="53"/>
      <c r="B75" s="37"/>
      <c r="C75" s="54"/>
      <c r="D75" s="55"/>
      <c r="E75" s="54"/>
      <c r="F75" s="56"/>
      <c r="G75" s="54"/>
      <c r="H75" s="54"/>
      <c r="I75" s="14">
        <v>481.1</v>
      </c>
      <c r="J75" s="14"/>
      <c r="K75" s="15"/>
    </row>
    <row r="76" spans="1:14" s="22" customFormat="1" ht="15" x14ac:dyDescent="0.2">
      <c r="A76" s="100" t="s">
        <v>149</v>
      </c>
      <c r="B76" s="37"/>
      <c r="C76" s="54"/>
      <c r="D76" s="55">
        <f>10000.39*I76/L76</f>
        <v>1579.82</v>
      </c>
      <c r="E76" s="54"/>
      <c r="F76" s="56"/>
      <c r="G76" s="54">
        <f t="shared" ref="G76:G88" si="9">D76/I76</f>
        <v>3.28</v>
      </c>
      <c r="H76" s="54">
        <f t="shared" ref="H76:H88" si="10">G76/12</f>
        <v>0.27</v>
      </c>
      <c r="I76" s="14">
        <v>481.1</v>
      </c>
      <c r="J76" s="14"/>
      <c r="K76" s="15"/>
      <c r="L76" s="22">
        <v>3045.4</v>
      </c>
    </row>
    <row r="77" spans="1:14" s="22" customFormat="1" ht="15" x14ac:dyDescent="0.2">
      <c r="A77" s="100" t="s">
        <v>150</v>
      </c>
      <c r="B77" s="37"/>
      <c r="C77" s="54"/>
      <c r="D77" s="55">
        <f>10987.26*I77/L77</f>
        <v>1735.72</v>
      </c>
      <c r="E77" s="54"/>
      <c r="F77" s="56"/>
      <c r="G77" s="54">
        <f t="shared" si="9"/>
        <v>3.61</v>
      </c>
      <c r="H77" s="54">
        <f t="shared" si="10"/>
        <v>0.3</v>
      </c>
      <c r="I77" s="14">
        <v>481.1</v>
      </c>
      <c r="J77" s="14"/>
      <c r="K77" s="15"/>
      <c r="L77" s="22">
        <v>3045.4</v>
      </c>
    </row>
    <row r="78" spans="1:14" s="22" customFormat="1" ht="15" x14ac:dyDescent="0.2">
      <c r="A78" s="100" t="s">
        <v>151</v>
      </c>
      <c r="B78" s="37"/>
      <c r="C78" s="54"/>
      <c r="D78" s="55">
        <f>2268.69*I78/L78</f>
        <v>358.4</v>
      </c>
      <c r="E78" s="54"/>
      <c r="F78" s="56"/>
      <c r="G78" s="54">
        <f t="shared" si="9"/>
        <v>0.74</v>
      </c>
      <c r="H78" s="54">
        <f t="shared" si="10"/>
        <v>0.06</v>
      </c>
      <c r="I78" s="14">
        <v>481.1</v>
      </c>
      <c r="J78" s="14"/>
      <c r="K78" s="15"/>
      <c r="L78" s="22">
        <v>3045.4</v>
      </c>
    </row>
    <row r="79" spans="1:14" s="22" customFormat="1" ht="15" x14ac:dyDescent="0.2">
      <c r="A79" s="100" t="s">
        <v>152</v>
      </c>
      <c r="B79" s="37"/>
      <c r="C79" s="54"/>
      <c r="D79" s="55">
        <f>3218.1*I79/L79</f>
        <v>508.38</v>
      </c>
      <c r="E79" s="54"/>
      <c r="F79" s="56"/>
      <c r="G79" s="54">
        <f t="shared" si="9"/>
        <v>1.06</v>
      </c>
      <c r="H79" s="54">
        <f t="shared" si="10"/>
        <v>0.09</v>
      </c>
      <c r="I79" s="14">
        <v>481.1</v>
      </c>
      <c r="J79" s="14"/>
      <c r="K79" s="15"/>
      <c r="L79" s="22">
        <v>3045.4</v>
      </c>
    </row>
    <row r="80" spans="1:14" s="22" customFormat="1" ht="22.5" customHeight="1" x14ac:dyDescent="0.2">
      <c r="A80" s="100" t="s">
        <v>154</v>
      </c>
      <c r="B80" s="37"/>
      <c r="C80" s="54"/>
      <c r="D80" s="55">
        <f>722.42*I80/L80</f>
        <v>114.12</v>
      </c>
      <c r="E80" s="54"/>
      <c r="F80" s="56"/>
      <c r="G80" s="54">
        <f t="shared" si="9"/>
        <v>0.24</v>
      </c>
      <c r="H80" s="54">
        <f t="shared" si="10"/>
        <v>0.02</v>
      </c>
      <c r="I80" s="14">
        <v>481.1</v>
      </c>
      <c r="J80" s="14"/>
      <c r="K80" s="15"/>
      <c r="L80" s="22">
        <v>3045.4</v>
      </c>
    </row>
    <row r="81" spans="1:12" s="22" customFormat="1" ht="15" hidden="1" x14ac:dyDescent="0.2">
      <c r="A81" s="100" t="s">
        <v>128</v>
      </c>
      <c r="B81" s="37"/>
      <c r="C81" s="54"/>
      <c r="D81" s="55"/>
      <c r="E81" s="54"/>
      <c r="F81" s="56"/>
      <c r="G81" s="54">
        <f t="shared" si="9"/>
        <v>0</v>
      </c>
      <c r="H81" s="54">
        <f t="shared" si="10"/>
        <v>0</v>
      </c>
      <c r="I81" s="14">
        <v>481.1</v>
      </c>
      <c r="J81" s="14"/>
      <c r="K81" s="15"/>
    </row>
    <row r="82" spans="1:12" s="22" customFormat="1" ht="15" hidden="1" x14ac:dyDescent="0.2">
      <c r="A82" s="53"/>
      <c r="B82" s="37"/>
      <c r="C82" s="54"/>
      <c r="D82" s="55"/>
      <c r="E82" s="54"/>
      <c r="F82" s="56"/>
      <c r="G82" s="54">
        <f t="shared" si="9"/>
        <v>0</v>
      </c>
      <c r="H82" s="54">
        <f t="shared" si="10"/>
        <v>0</v>
      </c>
      <c r="I82" s="14">
        <v>481.1</v>
      </c>
      <c r="J82" s="14"/>
      <c r="K82" s="15"/>
    </row>
    <row r="83" spans="1:12" s="22" customFormat="1" ht="15" hidden="1" x14ac:dyDescent="0.2">
      <c r="A83" s="53"/>
      <c r="B83" s="37"/>
      <c r="C83" s="54"/>
      <c r="D83" s="55"/>
      <c r="E83" s="54"/>
      <c r="F83" s="56"/>
      <c r="G83" s="54">
        <f t="shared" si="9"/>
        <v>0</v>
      </c>
      <c r="H83" s="54">
        <f t="shared" si="10"/>
        <v>0</v>
      </c>
      <c r="I83" s="14">
        <v>3045.4</v>
      </c>
      <c r="J83" s="14"/>
      <c r="K83" s="15"/>
    </row>
    <row r="84" spans="1:12" s="22" customFormat="1" ht="15" hidden="1" x14ac:dyDescent="0.2">
      <c r="A84" s="53"/>
      <c r="B84" s="37"/>
      <c r="C84" s="54"/>
      <c r="D84" s="55"/>
      <c r="E84" s="54"/>
      <c r="F84" s="56"/>
      <c r="G84" s="54">
        <f t="shared" si="9"/>
        <v>0</v>
      </c>
      <c r="H84" s="54">
        <f t="shared" si="10"/>
        <v>0</v>
      </c>
      <c r="I84" s="14">
        <v>2564.3000000000002</v>
      </c>
      <c r="J84" s="14"/>
      <c r="K84" s="15"/>
    </row>
    <row r="85" spans="1:12" s="22" customFormat="1" ht="15" hidden="1" x14ac:dyDescent="0.2">
      <c r="A85" s="53"/>
      <c r="B85" s="37"/>
      <c r="C85" s="54"/>
      <c r="D85" s="55"/>
      <c r="E85" s="54"/>
      <c r="F85" s="56"/>
      <c r="G85" s="54">
        <f t="shared" si="9"/>
        <v>0</v>
      </c>
      <c r="H85" s="54">
        <f t="shared" si="10"/>
        <v>0</v>
      </c>
      <c r="I85" s="14">
        <v>3045.4</v>
      </c>
      <c r="J85" s="14"/>
      <c r="K85" s="15"/>
    </row>
    <row r="86" spans="1:12" s="22" customFormat="1" ht="16.5" hidden="1" customHeight="1" x14ac:dyDescent="0.2">
      <c r="A86" s="53"/>
      <c r="B86" s="37"/>
      <c r="C86" s="54"/>
      <c r="D86" s="55"/>
      <c r="E86" s="54"/>
      <c r="F86" s="56"/>
      <c r="G86" s="54">
        <f t="shared" si="9"/>
        <v>0</v>
      </c>
      <c r="H86" s="54">
        <f t="shared" si="10"/>
        <v>0</v>
      </c>
      <c r="I86" s="14">
        <v>3045.4</v>
      </c>
      <c r="J86" s="14"/>
      <c r="K86" s="15"/>
    </row>
    <row r="87" spans="1:12" s="22" customFormat="1" ht="16.5" hidden="1" customHeight="1" x14ac:dyDescent="0.2">
      <c r="A87" s="100"/>
      <c r="B87" s="37"/>
      <c r="C87" s="54"/>
      <c r="D87" s="54"/>
      <c r="E87" s="54"/>
      <c r="F87" s="54"/>
      <c r="G87" s="54">
        <f t="shared" si="9"/>
        <v>0</v>
      </c>
      <c r="H87" s="54">
        <f t="shared" si="10"/>
        <v>0</v>
      </c>
      <c r="I87" s="14">
        <v>3045.4</v>
      </c>
      <c r="J87" s="14"/>
      <c r="K87" s="15"/>
    </row>
    <row r="88" spans="1:12" s="22" customFormat="1" ht="16.5" customHeight="1" x14ac:dyDescent="0.2">
      <c r="A88" s="100" t="s">
        <v>164</v>
      </c>
      <c r="B88" s="37"/>
      <c r="C88" s="54"/>
      <c r="D88" s="54">
        <f>29810.88*I88/L88</f>
        <v>4709.3999999999996</v>
      </c>
      <c r="E88" s="54"/>
      <c r="F88" s="54"/>
      <c r="G88" s="54">
        <f t="shared" si="9"/>
        <v>9.7899999999999991</v>
      </c>
      <c r="H88" s="54">
        <f t="shared" si="10"/>
        <v>0.82</v>
      </c>
      <c r="I88" s="14">
        <v>481.1</v>
      </c>
      <c r="J88" s="14"/>
      <c r="K88" s="15"/>
      <c r="L88" s="22">
        <v>3045.4</v>
      </c>
    </row>
    <row r="89" spans="1:12" s="98" customFormat="1" ht="19.5" thickBot="1" x14ac:dyDescent="0.45">
      <c r="A89" s="95"/>
      <c r="B89" s="96"/>
      <c r="C89" s="97"/>
      <c r="D89" s="97"/>
      <c r="E89" s="97"/>
      <c r="F89" s="97"/>
      <c r="G89" s="97"/>
      <c r="H89" s="97"/>
      <c r="K89" s="99"/>
    </row>
    <row r="90" spans="1:12" s="98" customFormat="1" ht="20.25" thickBot="1" x14ac:dyDescent="0.45">
      <c r="A90" s="82" t="s">
        <v>129</v>
      </c>
      <c r="B90" s="101"/>
      <c r="C90" s="101"/>
      <c r="D90" s="102">
        <f>D69+D73</f>
        <v>56951.839999999997</v>
      </c>
      <c r="E90" s="102" t="e">
        <f>E69+E73</f>
        <v>#REF!</v>
      </c>
      <c r="F90" s="102" t="e">
        <f>F69+F73</f>
        <v>#REF!</v>
      </c>
      <c r="G90" s="102">
        <f>G69+G73</f>
        <v>118.37</v>
      </c>
      <c r="H90" s="102">
        <f>H69+H73</f>
        <v>9.8800000000000008</v>
      </c>
      <c r="K90" s="99"/>
    </row>
    <row r="91" spans="1:12" s="98" customFormat="1" ht="19.5" x14ac:dyDescent="0.4">
      <c r="A91" s="103"/>
      <c r="B91" s="104"/>
      <c r="C91" s="104"/>
      <c r="D91" s="105"/>
      <c r="E91" s="104"/>
      <c r="F91" s="104"/>
      <c r="G91" s="105"/>
      <c r="H91" s="105"/>
      <c r="K91" s="99"/>
    </row>
    <row r="92" spans="1:12" s="98" customFormat="1" ht="19.5" x14ac:dyDescent="0.4">
      <c r="A92" s="103"/>
      <c r="B92" s="104"/>
      <c r="C92" s="104"/>
      <c r="D92" s="105"/>
      <c r="E92" s="104"/>
      <c r="F92" s="104"/>
      <c r="G92" s="105"/>
      <c r="H92" s="105"/>
      <c r="K92" s="99"/>
    </row>
    <row r="93" spans="1:12" s="98" customFormat="1" ht="19.5" x14ac:dyDescent="0.4">
      <c r="A93" s="103"/>
      <c r="B93" s="104"/>
      <c r="C93" s="104"/>
      <c r="D93" s="105"/>
      <c r="E93" s="104"/>
      <c r="F93" s="104"/>
      <c r="G93" s="105"/>
      <c r="H93" s="105"/>
      <c r="K93" s="99"/>
    </row>
    <row r="94" spans="1:12" s="90" customFormat="1" ht="19.5" x14ac:dyDescent="0.2">
      <c r="A94" s="106"/>
      <c r="B94" s="104"/>
      <c r="C94" s="105"/>
      <c r="D94" s="105"/>
      <c r="E94" s="105"/>
      <c r="F94" s="105"/>
      <c r="G94" s="105"/>
      <c r="H94" s="105"/>
      <c r="K94" s="91"/>
    </row>
    <row r="95" spans="1:12" s="93" customFormat="1" ht="14.25" x14ac:dyDescent="0.2">
      <c r="A95" s="142" t="s">
        <v>130</v>
      </c>
      <c r="B95" s="142"/>
      <c r="C95" s="142"/>
      <c r="D95" s="142"/>
      <c r="E95" s="142"/>
      <c r="F95" s="142"/>
      <c r="K95" s="94"/>
    </row>
    <row r="96" spans="1:12" s="93" customFormat="1" x14ac:dyDescent="0.2">
      <c r="K96" s="94"/>
    </row>
    <row r="97" spans="1:11" s="93" customFormat="1" x14ac:dyDescent="0.2">
      <c r="A97" s="92" t="s">
        <v>131</v>
      </c>
      <c r="K97" s="94"/>
    </row>
    <row r="98" spans="1:11" s="93" customFormat="1" x14ac:dyDescent="0.2">
      <c r="K98" s="94"/>
    </row>
    <row r="99" spans="1:11" s="93" customFormat="1" x14ac:dyDescent="0.2">
      <c r="K99" s="94"/>
    </row>
    <row r="100" spans="1:11" s="93" customFormat="1" x14ac:dyDescent="0.2">
      <c r="K100" s="94"/>
    </row>
    <row r="101" spans="1:11" s="93" customFormat="1" x14ac:dyDescent="0.2">
      <c r="K101" s="94"/>
    </row>
    <row r="102" spans="1:11" s="93" customFormat="1" x14ac:dyDescent="0.2">
      <c r="K102" s="94"/>
    </row>
    <row r="103" spans="1:11" s="93" customFormat="1" x14ac:dyDescent="0.2">
      <c r="K103" s="94"/>
    </row>
    <row r="104" spans="1:11" s="93" customFormat="1" x14ac:dyDescent="0.2">
      <c r="K104" s="94"/>
    </row>
    <row r="105" spans="1:11" s="93" customFormat="1" x14ac:dyDescent="0.2">
      <c r="K105" s="94"/>
    </row>
    <row r="106" spans="1:11" s="93" customFormat="1" x14ac:dyDescent="0.2">
      <c r="K106" s="94"/>
    </row>
    <row r="107" spans="1:11" s="93" customFormat="1" x14ac:dyDescent="0.2">
      <c r="K107" s="94"/>
    </row>
    <row r="108" spans="1:11" s="93" customFormat="1" x14ac:dyDescent="0.2">
      <c r="K108" s="94"/>
    </row>
    <row r="109" spans="1:11" s="93" customFormat="1" x14ac:dyDescent="0.2">
      <c r="K109" s="94"/>
    </row>
    <row r="110" spans="1:11" s="93" customFormat="1" x14ac:dyDescent="0.2">
      <c r="K110" s="94"/>
    </row>
    <row r="111" spans="1:11" s="93" customFormat="1" x14ac:dyDescent="0.2">
      <c r="K111" s="94"/>
    </row>
    <row r="112" spans="1:11" s="93" customFormat="1" x14ac:dyDescent="0.2">
      <c r="K112" s="94"/>
    </row>
    <row r="113" spans="11:11" s="93" customFormat="1" x14ac:dyDescent="0.2">
      <c r="K113" s="94"/>
    </row>
    <row r="114" spans="11:11" s="93" customFormat="1" x14ac:dyDescent="0.2">
      <c r="K114" s="94"/>
    </row>
    <row r="115" spans="11:11" s="93" customFormat="1" x14ac:dyDescent="0.2">
      <c r="K115" s="94"/>
    </row>
  </sheetData>
  <mergeCells count="13">
    <mergeCell ref="A1:H1"/>
    <mergeCell ref="B2:H2"/>
    <mergeCell ref="B3:H3"/>
    <mergeCell ref="B5:H5"/>
    <mergeCell ref="A6:H6"/>
    <mergeCell ref="A12:H12"/>
    <mergeCell ref="A15:H15"/>
    <mergeCell ref="A95:F95"/>
    <mergeCell ref="A7:H7"/>
    <mergeCell ref="A11:H11"/>
    <mergeCell ref="A8:H8"/>
    <mergeCell ref="A9:H9"/>
    <mergeCell ref="A10:H10"/>
  </mergeCells>
  <printOptions horizontalCentered="1"/>
  <pageMargins left="0.2" right="0.2" top="0.19685039370078741" bottom="0.2" header="0.2" footer="0.2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проект</vt:lpstr>
      <vt:lpstr>по заявлению</vt:lpstr>
      <vt:lpstr>тариф население</vt:lpstr>
      <vt:lpstr>по голосованию</vt:lpstr>
      <vt:lpstr>для встроенных</vt:lpstr>
      <vt:lpstr>ЗАО Корпорация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2015-05-27T05:49:29Z</cp:lastPrinted>
  <dcterms:created xsi:type="dcterms:W3CDTF">2014-02-03T04:23:49Z</dcterms:created>
  <dcterms:modified xsi:type="dcterms:W3CDTF">2015-06-18T06:49:42Z</dcterms:modified>
</cp:coreProperties>
</file>