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210" windowWidth="15480" windowHeight="11460" activeTab="3"/>
  </bookViews>
  <sheets>
    <sheet name="проект 290Пост" sheetId="1" r:id="rId1"/>
    <sheet name="по заявлению" sheetId="18" r:id="rId2"/>
    <sheet name="население" sheetId="16" r:id="rId3"/>
    <sheet name="по голосованию" sheetId="19" r:id="rId4"/>
    <sheet name="ЗАО &quot;Корпорация&quot;" sheetId="17" r:id="rId5"/>
  </sheets>
  <definedNames>
    <definedName name="_xlnm.Print_Area" localSheetId="4">'ЗАО "Корпорация"'!$A$1:$F$95</definedName>
    <definedName name="_xlnm.Print_Area" localSheetId="2">население!$A$1:$F$135</definedName>
    <definedName name="_xlnm.Print_Area" localSheetId="3">'по голосованию'!$A$1:$F$139</definedName>
    <definedName name="_xlnm.Print_Area" localSheetId="1">'по заявлению'!$A$1:$F$148</definedName>
    <definedName name="_xlnm.Print_Area" localSheetId="0">'проект 290Пост'!$A$1:$F$160</definedName>
  </definedNames>
  <calcPr calcId="145621" fullPrecision="0"/>
</workbook>
</file>

<file path=xl/calcChain.xml><?xml version="1.0" encoding="utf-8"?>
<calcChain xmlns="http://schemas.openxmlformats.org/spreadsheetml/2006/main">
  <c r="D124" i="19" l="1"/>
  <c r="E127" i="19"/>
  <c r="F127" i="19" s="1"/>
  <c r="E126" i="19"/>
  <c r="F126" i="19" s="1"/>
  <c r="E125" i="19"/>
  <c r="E124" i="19" s="1"/>
  <c r="G121" i="19"/>
  <c r="E121" i="19"/>
  <c r="D121" i="19" s="1"/>
  <c r="E120" i="19"/>
  <c r="D119" i="19"/>
  <c r="E119" i="19" s="1"/>
  <c r="F119" i="19" s="1"/>
  <c r="D118" i="19"/>
  <c r="E118" i="19" s="1"/>
  <c r="F118" i="19" s="1"/>
  <c r="E117" i="19"/>
  <c r="F117" i="19" s="1"/>
  <c r="D117" i="19"/>
  <c r="D116" i="19"/>
  <c r="E116" i="19" s="1"/>
  <c r="F116" i="19" s="1"/>
  <c r="E115" i="19"/>
  <c r="F115" i="19" s="1"/>
  <c r="E112" i="19"/>
  <c r="F112" i="19" s="1"/>
  <c r="D112" i="19"/>
  <c r="D109" i="19"/>
  <c r="E109" i="19" s="1"/>
  <c r="F109" i="19" s="1"/>
  <c r="D107" i="19"/>
  <c r="E107" i="19" s="1"/>
  <c r="F107" i="19" s="1"/>
  <c r="D105" i="19"/>
  <c r="D104" i="19"/>
  <c r="D103" i="19"/>
  <c r="D100" i="19"/>
  <c r="E94" i="19"/>
  <c r="F94" i="19" s="1"/>
  <c r="D94" i="19"/>
  <c r="D90" i="19"/>
  <c r="D88" i="19"/>
  <c r="D87" i="19"/>
  <c r="E87" i="19" s="1"/>
  <c r="F87" i="19" s="1"/>
  <c r="D84" i="19"/>
  <c r="D83" i="19"/>
  <c r="D82" i="19"/>
  <c r="D80" i="19"/>
  <c r="D79" i="19"/>
  <c r="D78" i="19"/>
  <c r="D77" i="19"/>
  <c r="D75" i="19"/>
  <c r="D74" i="19"/>
  <c r="D73" i="19"/>
  <c r="D72" i="19" s="1"/>
  <c r="E72" i="19" s="1"/>
  <c r="F72" i="19" s="1"/>
  <c r="D71" i="19"/>
  <c r="E71" i="19" s="1"/>
  <c r="F71" i="19" s="1"/>
  <c r="E70" i="19"/>
  <c r="D70" i="19" s="1"/>
  <c r="E69" i="19"/>
  <c r="D69" i="19" s="1"/>
  <c r="E68" i="19"/>
  <c r="F68" i="19" s="1"/>
  <c r="E58" i="19"/>
  <c r="D58" i="19"/>
  <c r="D57" i="19"/>
  <c r="E57" i="19" s="1"/>
  <c r="F57" i="19" s="1"/>
  <c r="D56" i="19"/>
  <c r="E56" i="19" s="1"/>
  <c r="F56" i="19" s="1"/>
  <c r="D55" i="19"/>
  <c r="E55" i="19" s="1"/>
  <c r="F55" i="19" s="1"/>
  <c r="D49" i="19"/>
  <c r="E49" i="19" s="1"/>
  <c r="F49" i="19" s="1"/>
  <c r="E43" i="19"/>
  <c r="D43" i="19" s="1"/>
  <c r="D42" i="19"/>
  <c r="E42" i="19" s="1"/>
  <c r="F42" i="19" s="1"/>
  <c r="E41" i="19"/>
  <c r="D41" i="19" s="1"/>
  <c r="E40" i="19"/>
  <c r="D40" i="19" s="1"/>
  <c r="E39" i="19"/>
  <c r="D39" i="19" s="1"/>
  <c r="E28" i="19"/>
  <c r="D28" i="19" s="1"/>
  <c r="F27" i="19"/>
  <c r="F14" i="19" s="1"/>
  <c r="E14" i="19" s="1"/>
  <c r="D14" i="19" s="1"/>
  <c r="D99" i="19" l="1"/>
  <c r="E99" i="19" s="1"/>
  <c r="F99" i="19" s="1"/>
  <c r="F125" i="19"/>
  <c r="F124" i="19" s="1"/>
  <c r="F120" i="19"/>
  <c r="D68" i="17"/>
  <c r="D117" i="16"/>
  <c r="D121" i="18"/>
  <c r="E121" i="18" s="1"/>
  <c r="F121" i="18" s="1"/>
  <c r="D42" i="16"/>
  <c r="D46" i="18"/>
  <c r="E46" i="18" s="1"/>
  <c r="F46" i="18" s="1"/>
  <c r="E130" i="18"/>
  <c r="G125" i="18"/>
  <c r="E125" i="18"/>
  <c r="E124" i="18"/>
  <c r="F124" i="18" s="1"/>
  <c r="E123" i="18"/>
  <c r="F123" i="18" s="1"/>
  <c r="E122" i="18"/>
  <c r="F122" i="18" s="1"/>
  <c r="D120" i="18"/>
  <c r="E120" i="18" s="1"/>
  <c r="F120" i="18" s="1"/>
  <c r="E119" i="18"/>
  <c r="F119" i="18" s="1"/>
  <c r="F116" i="18"/>
  <c r="D116" i="18"/>
  <c r="F113" i="18"/>
  <c r="D113" i="18"/>
  <c r="F111" i="18"/>
  <c r="D111" i="18"/>
  <c r="D109" i="18"/>
  <c r="D108" i="18"/>
  <c r="D107" i="18"/>
  <c r="D104" i="18"/>
  <c r="F103" i="18"/>
  <c r="F98" i="18"/>
  <c r="D98" i="18"/>
  <c r="F91" i="18"/>
  <c r="D91" i="18"/>
  <c r="F76" i="18"/>
  <c r="D76" i="18"/>
  <c r="F75" i="18"/>
  <c r="E75" i="18"/>
  <c r="E74" i="18"/>
  <c r="D74" i="18" s="1"/>
  <c r="E73" i="18"/>
  <c r="D73" i="18" s="1"/>
  <c r="F72" i="18"/>
  <c r="E72" i="18"/>
  <c r="E62" i="18"/>
  <c r="D62" i="18" s="1"/>
  <c r="E61" i="18"/>
  <c r="F61" i="18" s="1"/>
  <c r="E60" i="18"/>
  <c r="F60" i="18" s="1"/>
  <c r="E59" i="18"/>
  <c r="F59" i="18" s="1"/>
  <c r="D53" i="18"/>
  <c r="E53" i="18" s="1"/>
  <c r="F53" i="18" s="1"/>
  <c r="E47" i="18"/>
  <c r="D47" i="18" s="1"/>
  <c r="E45" i="18"/>
  <c r="D45" i="18" s="1"/>
  <c r="E44" i="18"/>
  <c r="D44" i="18" s="1"/>
  <c r="E43" i="18"/>
  <c r="D43" i="18" s="1"/>
  <c r="E32" i="18"/>
  <c r="D32" i="18" s="1"/>
  <c r="E30" i="18"/>
  <c r="F30" i="18" s="1"/>
  <c r="E29" i="18"/>
  <c r="F29" i="18" s="1"/>
  <c r="E28" i="18"/>
  <c r="F28" i="18" s="1"/>
  <c r="E27" i="18"/>
  <c r="F27" i="18" s="1"/>
  <c r="F122" i="19" l="1"/>
  <c r="F130" i="19" s="1"/>
  <c r="E122" i="19"/>
  <c r="E130" i="19" s="1"/>
  <c r="D122" i="19"/>
  <c r="D130" i="19" s="1"/>
  <c r="D103" i="18"/>
  <c r="D125" i="18"/>
  <c r="F31" i="18"/>
  <c r="F14" i="18" s="1"/>
  <c r="E14" i="18" s="1"/>
  <c r="D14" i="18" s="1"/>
  <c r="D126" i="18" s="1"/>
  <c r="D130" i="18" s="1"/>
  <c r="F130" i="18"/>
  <c r="D54" i="17"/>
  <c r="D88" i="16"/>
  <c r="D56" i="17"/>
  <c r="D90" i="16" l="1"/>
  <c r="D40" i="17"/>
  <c r="D39" i="17"/>
  <c r="D73" i="16"/>
  <c r="D50" i="17"/>
  <c r="D84" i="16"/>
  <c r="D48" i="17"/>
  <c r="D82" i="16"/>
  <c r="D46" i="17"/>
  <c r="D80" i="16"/>
  <c r="D45" i="17"/>
  <c r="D79" i="16"/>
  <c r="D44" i="17"/>
  <c r="D78" i="16"/>
  <c r="D43" i="17"/>
  <c r="D77" i="16"/>
  <c r="D74" i="16"/>
  <c r="D41" i="17"/>
  <c r="D75" i="16"/>
  <c r="D34" i="17" l="1"/>
  <c r="D57" i="16"/>
  <c r="D33" i="17"/>
  <c r="D32" i="17"/>
  <c r="D56" i="16"/>
  <c r="D55" i="16"/>
  <c r="F68" i="17" l="1"/>
  <c r="E68" i="17"/>
  <c r="E69" i="17"/>
  <c r="F69" i="17" s="1"/>
  <c r="D70" i="17"/>
  <c r="E70" i="17" s="1"/>
  <c r="F70" i="17" s="1"/>
  <c r="D69" i="17"/>
  <c r="D67" i="17"/>
  <c r="E67" i="17" s="1"/>
  <c r="F67" i="17" s="1"/>
  <c r="D119" i="16"/>
  <c r="D118" i="16"/>
  <c r="D116" i="16"/>
  <c r="F27" i="16"/>
  <c r="F29" i="17"/>
  <c r="D121" i="1"/>
  <c r="D120" i="1"/>
  <c r="D65" i="17" l="1"/>
  <c r="D60" i="17"/>
  <c r="E60" i="17" s="1"/>
  <c r="F60" i="17" s="1"/>
  <c r="D49" i="17"/>
  <c r="D37" i="17"/>
  <c r="E37" i="17" s="1"/>
  <c r="F37" i="17" s="1"/>
  <c r="E36" i="17"/>
  <c r="D36" i="17" s="1"/>
  <c r="E35" i="17"/>
  <c r="D35" i="17" s="1"/>
  <c r="E34" i="17"/>
  <c r="F34" i="17" s="1"/>
  <c r="E33" i="17"/>
  <c r="E32" i="17"/>
  <c r="F32" i="17" s="1"/>
  <c r="E31" i="17"/>
  <c r="D31" i="17" s="1"/>
  <c r="E30" i="17"/>
  <c r="D30" i="17" s="1"/>
  <c r="F33" i="17" l="1"/>
  <c r="E65" i="17"/>
  <c r="D53" i="17"/>
  <c r="E53" i="17" s="1"/>
  <c r="F53" i="17" s="1"/>
  <c r="D38" i="17"/>
  <c r="F16" i="17"/>
  <c r="D83" i="16"/>
  <c r="D71" i="16"/>
  <c r="E71" i="16" s="1"/>
  <c r="F71" i="16" s="1"/>
  <c r="G121" i="16"/>
  <c r="E121" i="16"/>
  <c r="E120" i="16"/>
  <c r="F120" i="16" s="1"/>
  <c r="E119" i="16"/>
  <c r="F119" i="16" s="1"/>
  <c r="E118" i="16"/>
  <c r="F118" i="16" s="1"/>
  <c r="E117" i="16"/>
  <c r="F117" i="16" s="1"/>
  <c r="E116" i="16"/>
  <c r="F116" i="16" s="1"/>
  <c r="E115" i="16"/>
  <c r="F115" i="16" s="1"/>
  <c r="D112" i="16"/>
  <c r="E112" i="16" s="1"/>
  <c r="F112" i="16" s="1"/>
  <c r="D109" i="16"/>
  <c r="E109" i="16" s="1"/>
  <c r="F109" i="16" s="1"/>
  <c r="D107" i="16"/>
  <c r="E107" i="16" s="1"/>
  <c r="F107" i="16" s="1"/>
  <c r="D105" i="16"/>
  <c r="D104" i="16"/>
  <c r="D103" i="16"/>
  <c r="D100" i="16"/>
  <c r="D99" i="16" s="1"/>
  <c r="E99" i="16" s="1"/>
  <c r="F99" i="16" s="1"/>
  <c r="D94" i="16"/>
  <c r="E94" i="16" s="1"/>
  <c r="F94" i="16" s="1"/>
  <c r="E70" i="16"/>
  <c r="D70" i="16"/>
  <c r="E69" i="16"/>
  <c r="D69" i="16"/>
  <c r="E68" i="16"/>
  <c r="F68" i="16" s="1"/>
  <c r="E58" i="16"/>
  <c r="D58" i="16" s="1"/>
  <c r="E57" i="16"/>
  <c r="F57" i="16" s="1"/>
  <c r="E56" i="16"/>
  <c r="F56" i="16" s="1"/>
  <c r="E55" i="16"/>
  <c r="F55" i="16" s="1"/>
  <c r="D49" i="16"/>
  <c r="E49" i="16" s="1"/>
  <c r="F49" i="16" s="1"/>
  <c r="E43" i="16"/>
  <c r="D43" i="16" s="1"/>
  <c r="E42" i="16"/>
  <c r="F42" i="16" s="1"/>
  <c r="E41" i="16"/>
  <c r="D41" i="16"/>
  <c r="E40" i="16"/>
  <c r="D40" i="16"/>
  <c r="E39" i="16"/>
  <c r="D39" i="16"/>
  <c r="E28" i="16"/>
  <c r="D28" i="16"/>
  <c r="F14" i="16"/>
  <c r="E14" i="16" s="1"/>
  <c r="D14" i="16" s="1"/>
  <c r="D121" i="16" l="1"/>
  <c r="E38" i="17"/>
  <c r="F65" i="17"/>
  <c r="E16" i="17"/>
  <c r="D87" i="16"/>
  <c r="E87" i="16" s="1"/>
  <c r="F87" i="16" s="1"/>
  <c r="D72" i="16"/>
  <c r="E72" i="16" s="1"/>
  <c r="F72" i="16" s="1"/>
  <c r="F121" i="1"/>
  <c r="E121" i="1"/>
  <c r="E122" i="1"/>
  <c r="F122" i="1" s="1"/>
  <c r="E123" i="1"/>
  <c r="F123" i="1" s="1"/>
  <c r="E120" i="1"/>
  <c r="F120" i="1" s="1"/>
  <c r="D91" i="1"/>
  <c r="D76" i="1"/>
  <c r="E61" i="1"/>
  <c r="F61" i="1" s="1"/>
  <c r="E72" i="1"/>
  <c r="F72" i="1" s="1"/>
  <c r="E74" i="1"/>
  <c r="D74" i="1" s="1"/>
  <c r="D53" i="1"/>
  <c r="E53" i="1" s="1"/>
  <c r="F53" i="1" s="1"/>
  <c r="D46" i="1"/>
  <c r="E28" i="1"/>
  <c r="F28" i="1" s="1"/>
  <c r="E29" i="1"/>
  <c r="F29" i="1" s="1"/>
  <c r="E30" i="1"/>
  <c r="F30" i="1" s="1"/>
  <c r="E27" i="1"/>
  <c r="F27" i="1" s="1"/>
  <c r="F38" i="17" l="1"/>
  <c r="F71" i="17" s="1"/>
  <c r="F75" i="17" s="1"/>
  <c r="E71" i="17"/>
  <c r="E75" i="17" s="1"/>
  <c r="F122" i="16"/>
  <c r="F126" i="16" s="1"/>
  <c r="E122" i="16"/>
  <c r="E126" i="16" s="1"/>
  <c r="D122" i="16"/>
  <c r="D126" i="16" s="1"/>
  <c r="D16" i="17"/>
  <c r="D71" i="17" s="1"/>
  <c r="F31" i="1"/>
  <c r="E139" i="1"/>
  <c r="F139" i="1" s="1"/>
  <c r="D128" i="1"/>
  <c r="D75" i="17" l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40" i="1"/>
  <c r="F140" i="1" s="1"/>
  <c r="D111" i="1"/>
  <c r="G125" i="1"/>
  <c r="E75" i="1" l="1"/>
  <c r="F75" i="1" s="1"/>
  <c r="E32" i="1"/>
  <c r="D32" i="1" s="1"/>
  <c r="E119" i="1" l="1"/>
  <c r="F119" i="1" s="1"/>
  <c r="E62" i="1"/>
  <c r="D62" i="1" s="1"/>
  <c r="D98" i="1" l="1"/>
  <c r="E124" i="1"/>
  <c r="F124" i="1" s="1"/>
  <c r="F14" i="1" l="1"/>
  <c r="E47" i="1" l="1"/>
  <c r="D47" i="1" s="1"/>
  <c r="E45" i="1"/>
  <c r="D45" i="1" s="1"/>
  <c r="E44" i="1"/>
  <c r="D44" i="1" s="1"/>
  <c r="E43" i="1"/>
  <c r="D43" i="1" s="1"/>
  <c r="E14" i="1"/>
  <c r="D14" i="1" s="1"/>
  <c r="E129" i="1"/>
  <c r="E128" i="1" s="1"/>
  <c r="E125" i="1"/>
  <c r="F116" i="1"/>
  <c r="D116" i="1"/>
  <c r="F113" i="1"/>
  <c r="D113" i="1"/>
  <c r="F111" i="1"/>
  <c r="D109" i="1"/>
  <c r="D108" i="1"/>
  <c r="D107" i="1"/>
  <c r="D104" i="1"/>
  <c r="F103" i="1"/>
  <c r="F98" i="1"/>
  <c r="F91" i="1"/>
  <c r="F76" i="1"/>
  <c r="E73" i="1"/>
  <c r="D73" i="1" s="1"/>
  <c r="E59" i="1"/>
  <c r="F59" i="1" s="1"/>
  <c r="E46" i="1"/>
  <c r="F46" i="1" s="1"/>
  <c r="D126" i="1" l="1"/>
  <c r="D103" i="1"/>
  <c r="D125" i="1"/>
  <c r="E142" i="1"/>
  <c r="F129" i="1"/>
  <c r="F128" i="1" s="1"/>
  <c r="D142" i="1" l="1"/>
  <c r="F142" i="1"/>
  <c r="E60" i="1"/>
  <c r="F60" i="1" s="1"/>
</calcChain>
</file>

<file path=xl/sharedStrings.xml><?xml version="1.0" encoding="utf-8"?>
<sst xmlns="http://schemas.openxmlformats.org/spreadsheetml/2006/main" count="1152" uniqueCount="186">
  <si>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</si>
  <si>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</si>
  <si>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(многоквартирный дом с газовыми плитами и повышающими насосами)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</si>
  <si>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</si>
  <si>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</si>
  <si>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</si>
  <si>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</si>
  <si>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</si>
  <si>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</si>
  <si>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</si>
  <si>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</si>
  <si>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</si>
  <si>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</si>
  <si>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</si>
  <si>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Уборка земельного участка, входящего в состав общего имущества</t>
  </si>
  <si>
    <t>6 раз в неделю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</si>
  <si>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</si>
  <si>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</si>
  <si>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</si>
  <si>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</si>
  <si>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</si>
  <si>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</si>
  <si>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</si>
  <si>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</si>
  <si>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неделю</t>
  </si>
  <si>
    <t>Санобработка мусорокамер (согласно СанПиН 2.1.2.2645 - 10 утвержденного Постановлением Главного госуд.санит.врача от 10.06.2010 г. № 64)</t>
  </si>
  <si>
    <t>1 раз в год</t>
  </si>
  <si>
    <t>2 раза в год</t>
  </si>
  <si>
    <t>Обслуживание лифтов</t>
  </si>
  <si>
    <t>ежедневно с 06.00 - 23.00час.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</si>
  <si>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</si>
  <si>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</si>
  <si>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</si>
  <si>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</si>
  <si>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</si>
  <si>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</si>
  <si>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</si>
  <si>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отключение системы отопления</t>
  </si>
  <si>
    <t>гидравлическое испытание входной запорной арматуры</t>
  </si>
  <si>
    <t>ревизия элеваторного узла ( сопло )</t>
  </si>
  <si>
    <t>промывка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</si>
  <si>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</si>
  <si>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</si>
  <si>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</si>
  <si>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</si>
  <si>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</si>
  <si>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</si>
  <si>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</si>
  <si>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</si>
  <si>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</si>
  <si>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</si>
  <si>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замена насоса ХВС / резерв /</t>
  </si>
  <si>
    <t>перевод реле времени</t>
  </si>
  <si>
    <t>замена трансформатора тока</t>
  </si>
  <si>
    <t>восстановление общедомового уличного освещения</t>
  </si>
  <si>
    <t>1 раз в 4 года</t>
  </si>
  <si>
    <t>Регламентные работы по системе водоотведения в т.числе:</t>
  </si>
  <si>
    <t>прочистка канализационных выпусков до стены здания</t>
  </si>
  <si>
    <t>Регламентные работы по системе вентиляции в т.числе:</t>
  </si>
  <si>
    <t>Регламентные работы по содержанию кровли в т.числе:</t>
  </si>
  <si>
    <t>3 раза в год</t>
  </si>
  <si>
    <t>очистка от снега и наледи подъездных козырьков</t>
  </si>
  <si>
    <t>Погашение задолженности прошлых периодов</t>
  </si>
  <si>
    <t>Сбор, вывоз и утилизация ТБО, руб/м2</t>
  </si>
  <si>
    <t>ИТОГО:</t>
  </si>
  <si>
    <t>Предлагаемый перечень работ по текущему ремонту                                       ( на выбор собственников)</t>
  </si>
  <si>
    <t>ВСЕГО: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</si>
  <si>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</si>
  <si>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</si>
  <si>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гидравлическое испытание элеваторного узла и запорной арматуры</t>
  </si>
  <si>
    <t>опрессовка системы отопления</t>
  </si>
  <si>
    <t>1 раз в 3 года</t>
  </si>
  <si>
    <t>учет работ по капремонту</t>
  </si>
  <si>
    <t>Итого:</t>
  </si>
  <si>
    <t>очистка водоприемных воронок</t>
  </si>
  <si>
    <t>по адресу: ул. Зеленова, д.1/28 (Sобщ.= 481,1 м2)</t>
  </si>
  <si>
    <t>ЗАО "Корпорация"</t>
  </si>
  <si>
    <t>Управление многоквартирным домом, всего в т.ч.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</si>
  <si>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</si>
  <si>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</si>
  <si>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</si>
  <si>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</si>
  <si>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</si>
  <si>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</si>
  <si>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</si>
  <si>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</si>
  <si>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</si>
  <si>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</si>
  <si>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</si>
  <si>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</si>
  <si>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</si>
  <si>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</si>
  <si>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</si>
  <si>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</si>
  <si>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</si>
  <si>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</si>
  <si>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</si>
  <si>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</si>
  <si>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</si>
  <si>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</si>
  <si>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</si>
  <si>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организация системы диспетчерского контроля и обеспечение диспетчерской связи с кабиной лифта</t>
  </si>
  <si>
    <t xml:space="preserve"> проведения осмотров, технического обслуживания и ремонт лифта</t>
  </si>
  <si>
    <t>по графику</t>
  </si>
  <si>
    <t>проведение аварийного обслуживания лифта</t>
  </si>
  <si>
    <t>проведение технического освидетельствования лифта, в т.ч после замены элементов оборудования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</si>
  <si>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</si>
  <si>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</si>
  <si>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</si>
  <si>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</si>
  <si>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</si>
  <si>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</si>
  <si>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</si>
  <si>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</si>
  <si>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</si>
  <si>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</si>
  <si>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</si>
  <si>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>замена неисправных контрольно-измерительных приборов( манометров, термометров и т.д)</t>
  </si>
  <si>
    <t xml:space="preserve">1 раз </t>
  </si>
  <si>
    <t>смена задвижек СТС</t>
  </si>
  <si>
    <t>ревизия задвижек СТС</t>
  </si>
  <si>
    <t>работа по очистке воляного подогревателя для удаления накипи-коррозийных отложений</t>
  </si>
  <si>
    <t>ревизия задвижек ГВС</t>
  </si>
  <si>
    <t>смена задвижек ГВС</t>
  </si>
  <si>
    <t>ревизия задвижек ХВС</t>
  </si>
  <si>
    <t>смена задвижек ХВС</t>
  </si>
  <si>
    <t>Регламентные работы по системе электроснабжения  в т.числе: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</si>
  <si>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</si>
  <si>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</si>
  <si>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</si>
  <si>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</si>
  <si>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объем работ</t>
  </si>
  <si>
    <t>315 м2</t>
  </si>
  <si>
    <t>1 ствол</t>
  </si>
  <si>
    <t>1 лифт</t>
  </si>
  <si>
    <t>1 шт</t>
  </si>
  <si>
    <t>Обслуживание  мусоропроводов</t>
  </si>
  <si>
    <t xml:space="preserve">12 раз в год </t>
  </si>
  <si>
    <t>замена общедомовых электросчетчиков</t>
  </si>
  <si>
    <t>по адресу: ул. Зеленова, д.1/28 (S жилые + нежилые = 3044,9 м2, S придом.тер.= 315 м2)</t>
  </si>
  <si>
    <t>2 пробы</t>
  </si>
  <si>
    <t>2563,8 м2</t>
  </si>
  <si>
    <t>Приложение № 3</t>
  </si>
  <si>
    <t xml:space="preserve">от _____________ 2016 г </t>
  </si>
  <si>
    <t>Погодное регулирование системы отопления (ориентировочная стоимость)</t>
  </si>
  <si>
    <t>Ремонт мягкой кровли в 2 слоя - 422,2 м2, устройство примыканий 123,2 п.м.</t>
  </si>
  <si>
    <t>Ремонт балконных плит - 10 м2</t>
  </si>
  <si>
    <t>Ремонт кровли машинного отделения в 2 слоя - 38 м2, устройство примыканий с обделкой металлом - 5 п.м.</t>
  </si>
  <si>
    <t>Отделка балконных экранов сайдингом - 105,6 м2</t>
  </si>
  <si>
    <t>Ремонт крыльца подъезда - 1 шт.</t>
  </si>
  <si>
    <t>Изготовление и установка металлического ограждения (правый угол двор. фасада)</t>
  </si>
  <si>
    <t>Смена трубопроводов СТС (чердак) Ду 25 мм - 80мп; Ду 57 мм - 50 мп</t>
  </si>
  <si>
    <t>Смена шаровых кранов СТС (чердак) Ду 15 мм - 15 шт.; Ду 20 мм - 15 шт.; Ду 25 мм - 15 шт.</t>
  </si>
  <si>
    <t>Изоляция трубопроводов отопления на элев. узле "Корунд" Ду 32 мм - 10 мп; Ду 57 мм - 15 мп; Ду 76 мм - 10 мп; Ду 89 мм - 20 мп</t>
  </si>
  <si>
    <t>Перетрассировка трубопровода СТС Ду 20 мм - 17 мп с установкой опор</t>
  </si>
  <si>
    <t>Ремонт освещения подвала</t>
  </si>
  <si>
    <t>рассмотрение обращений граждан</t>
  </si>
  <si>
    <t>информационное сообщение (ГИС ЖКХ)</t>
  </si>
  <si>
    <t>сверхнормативное ОДН по ХВС</t>
  </si>
  <si>
    <t>сверхнормативное ОДН по ГВС</t>
  </si>
  <si>
    <t>сверхнормативное ОДН по электроэнергии</t>
  </si>
  <si>
    <t>сверхнормативное ОДН по водоотведению</t>
  </si>
  <si>
    <t>Техническое диагностирование внутридомового газового оборудования (ВГДО)</t>
  </si>
  <si>
    <t>объем теплоносителя на наполнение системы теплоснабжения (договор с ТПК)</t>
  </si>
  <si>
    <t>2017 - 2018 г.</t>
  </si>
  <si>
    <t>обязательное страхование лифтов ФЗ № 225 от 27.07.2010 г.</t>
  </si>
  <si>
    <t>Проект -1 с учетом поверки прибора учета теплоэнергии</t>
  </si>
  <si>
    <t>Поверка  прибора  учета теплоэнергии</t>
  </si>
  <si>
    <t xml:space="preserve"> дезинфекция вентканалов</t>
  </si>
  <si>
    <r>
      <t xml:space="preserve">Работы заявочного характера </t>
    </r>
    <r>
      <rPr>
        <sz val="10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замена насоса ГВС, ХВС, очистка от снега и наледи подъездных козырьков)</t>
    </r>
  </si>
  <si>
    <t>по состоянию на 1.05.2017г.</t>
  </si>
  <si>
    <t>260,8 м2</t>
  </si>
  <si>
    <t>220 м</t>
  </si>
  <si>
    <t>399,2 м2</t>
  </si>
  <si>
    <t>750 м</t>
  </si>
  <si>
    <t>1410 м</t>
  </si>
  <si>
    <t>705 м</t>
  </si>
  <si>
    <t>640 м</t>
  </si>
  <si>
    <t>108 каналов</t>
  </si>
  <si>
    <t>196 м</t>
  </si>
  <si>
    <t xml:space="preserve"> ХВС на содержание общего имущества</t>
  </si>
  <si>
    <t xml:space="preserve"> ГВС на содержание общего имущества</t>
  </si>
  <si>
    <t xml:space="preserve"> Электроэнергия  на содержание общего имущества</t>
  </si>
  <si>
    <t xml:space="preserve"> Водоотведение на содержание общего имущества</t>
  </si>
  <si>
    <t xml:space="preserve">1 раз в год </t>
  </si>
  <si>
    <r>
      <t xml:space="preserve">Работы заявочного характера </t>
    </r>
    <r>
      <rPr>
        <sz val="10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замена насоса ГВС, ХВС, очистка от снега и наледи подъездных козырьков, прочистка канализационных выпусков до стены здания, дезинфекция вентканалов, очистка водоприемных воронок)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</si>
</sst>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sz val="12"/>
      <name val="Arial Cyr"/>
      <charset val="204"/>
    </font>
    <font>
      <sz val="11"/>
      <name val="Arial Black"/>
      <family val="2"/>
      <charset val="204"/>
    </font>
    <font>
      <sz val="11"/>
      <name val="Arial Black"/>
      <family val="2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9"/>
      <name val="Arial Black"/>
      <family val="2"/>
      <charset val="204"/>
    </font>
    <font>
      <sz val="10"/>
      <color indexed="10"/>
      <name val="Arial Cyr"/>
      <charset val="204"/>
    </font>
    <font>
      <sz val="12"/>
      <name val="Arial Black"/>
      <family val="2"/>
      <charset val="204"/>
    </font>
    <font>
      <sz val="9"/>
      <name val="Arial"/>
      <family val="2"/>
      <charset val="204"/>
    </font>
    <font>
      <sz val="10"/>
      <color rgb="FFFF0000"/>
      <name val="Arial Cyr"/>
      <family val="2"/>
      <charset val="204"/>
    </font>
    <font>
      <sz val="10"/>
      <color rgb="FFFF0000"/>
      <name val="Arial Black"/>
      <family val="2"/>
      <charset val="204"/>
    </font>
    <font>
      <sz val="10"/>
      <color rgb="FFFF0000"/>
      <name val="Arial"/>
      <family val="2"/>
      <charset val="204"/>
    </font>
    <font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0" fillId="2" borderId="0" xfId="0" applyFill="1"/>
    <xf numFmtId="2" fontId="0" fillId="2" borderId="0" xfId="0" applyNumberFormat="1" applyFill="1"/>
    <xf numFmtId="0" fontId="3" fillId="3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3" fillId="2" borderId="0" xfId="0" applyFont="1" applyFill="1"/>
    <xf numFmtId="2" fontId="3" fillId="2" borderId="0" xfId="0" applyNumberFormat="1" applyFont="1" applyFill="1"/>
    <xf numFmtId="2" fontId="0" fillId="2" borderId="0" xfId="0" applyNumberFormat="1" applyFill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2" fontId="8" fillId="2" borderId="15" xfId="0" applyNumberFormat="1" applyFont="1" applyFill="1" applyBorder="1" applyAlignment="1">
      <alignment horizontal="center" vertical="center" wrapText="1"/>
    </xf>
    <xf numFmtId="2" fontId="8" fillId="3" borderId="15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center" vertical="center" wrapText="1"/>
    </xf>
    <xf numFmtId="2" fontId="9" fillId="2" borderId="15" xfId="0" applyNumberFormat="1" applyFont="1" applyFill="1" applyBorder="1" applyAlignment="1">
      <alignment horizontal="center" vertical="center" wrapText="1"/>
    </xf>
    <xf numFmtId="2" fontId="9" fillId="2" borderId="16" xfId="0" applyNumberFormat="1" applyFont="1" applyFill="1" applyBorder="1" applyAlignment="1">
      <alignment horizontal="center" vertical="center" wrapText="1"/>
    </xf>
    <xf numFmtId="2" fontId="8" fillId="2" borderId="16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center" vertical="center" wrapText="1"/>
    </xf>
    <xf numFmtId="2" fontId="8" fillId="2" borderId="18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left" vertical="center" wrapText="1"/>
    </xf>
    <xf numFmtId="2" fontId="1" fillId="2" borderId="19" xfId="0" applyNumberFormat="1" applyFont="1" applyFill="1" applyBorder="1" applyAlignment="1">
      <alignment horizontal="center" vertical="center" wrapText="1"/>
    </xf>
    <xf numFmtId="2" fontId="1" fillId="3" borderId="19" xfId="0" applyNumberFormat="1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2" fontId="0" fillId="3" borderId="19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2" fontId="0" fillId="2" borderId="1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9" fillId="2" borderId="17" xfId="0" applyFont="1" applyFill="1" applyBorder="1" applyAlignment="1">
      <alignment horizontal="left" vertical="center" wrapText="1"/>
    </xf>
    <xf numFmtId="2" fontId="0" fillId="3" borderId="16" xfId="0" applyNumberFormat="1" applyFont="1" applyFill="1" applyBorder="1" applyAlignment="1">
      <alignment horizontal="center" vertical="center" wrapText="1"/>
    </xf>
    <xf numFmtId="2" fontId="8" fillId="3" borderId="18" xfId="0" applyNumberFormat="1" applyFont="1" applyFill="1" applyBorder="1" applyAlignment="1">
      <alignment horizontal="center" vertical="center" wrapText="1"/>
    </xf>
    <xf numFmtId="2" fontId="8" fillId="3" borderId="16" xfId="0" applyNumberFormat="1" applyFont="1" applyFill="1" applyBorder="1" applyAlignment="1">
      <alignment horizontal="center" vertical="center" wrapText="1"/>
    </xf>
    <xf numFmtId="4" fontId="8" fillId="3" borderId="18" xfId="0" applyNumberFormat="1" applyFont="1" applyFill="1" applyBorder="1" applyAlignment="1">
      <alignment horizontal="center" vertical="center" wrapText="1"/>
    </xf>
    <xf numFmtId="4" fontId="9" fillId="2" borderId="13" xfId="0" applyNumberFormat="1" applyFont="1" applyFill="1" applyBorder="1" applyAlignment="1">
      <alignment horizontal="left" vertical="center" wrapText="1"/>
    </xf>
    <xf numFmtId="4" fontId="9" fillId="2" borderId="15" xfId="0" applyNumberFormat="1" applyFont="1" applyFill="1" applyBorder="1" applyAlignment="1">
      <alignment horizontal="center" vertical="center" wrapText="1"/>
    </xf>
    <xf numFmtId="2" fontId="0" fillId="2" borderId="16" xfId="0" applyNumberFormat="1" applyFont="1" applyFill="1" applyBorder="1" applyAlignment="1">
      <alignment horizontal="center" vertical="center" wrapText="1"/>
    </xf>
    <xf numFmtId="4" fontId="8" fillId="2" borderId="18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left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2" fillId="0" borderId="16" xfId="0" applyNumberFormat="1" applyFont="1" applyFill="1" applyBorder="1" applyAlignment="1">
      <alignment horizontal="center" vertical="center" wrapText="1"/>
    </xf>
    <xf numFmtId="2" fontId="12" fillId="0" borderId="15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4" fontId="13" fillId="0" borderId="21" xfId="0" applyNumberFormat="1" applyFont="1" applyFill="1" applyBorder="1" applyAlignment="1">
      <alignment horizontal="center"/>
    </xf>
    <xf numFmtId="2" fontId="13" fillId="0" borderId="21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/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2" fontId="4" fillId="0" borderId="0" xfId="0" applyNumberFormat="1" applyFont="1" applyFill="1"/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3" fillId="0" borderId="0" xfId="0" applyFont="1" applyFill="1"/>
    <xf numFmtId="2" fontId="13" fillId="0" borderId="0" xfId="0" applyNumberFormat="1" applyFont="1" applyFill="1"/>
    <xf numFmtId="4" fontId="4" fillId="0" borderId="3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/>
    </xf>
    <xf numFmtId="4" fontId="13" fillId="0" borderId="3" xfId="0" applyNumberFormat="1" applyFont="1" applyFill="1" applyBorder="1" applyAlignment="1">
      <alignment horizontal="center" vertical="center"/>
    </xf>
    <xf numFmtId="2" fontId="16" fillId="3" borderId="16" xfId="0" applyNumberFormat="1" applyFont="1" applyFill="1" applyBorder="1" applyAlignment="1">
      <alignment horizontal="center" vertical="center" wrapText="1"/>
    </xf>
    <xf numFmtId="2" fontId="16" fillId="3" borderId="15" xfId="0" applyNumberFormat="1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left" vertical="center" wrapText="1"/>
    </xf>
    <xf numFmtId="0" fontId="17" fillId="3" borderId="14" xfId="0" applyFont="1" applyFill="1" applyBorder="1" applyAlignment="1">
      <alignment horizontal="center" vertical="center" wrapText="1"/>
    </xf>
    <xf numFmtId="4" fontId="0" fillId="3" borderId="19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2" fontId="15" fillId="0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" fontId="15" fillId="2" borderId="0" xfId="0" applyNumberFormat="1" applyFont="1" applyFill="1" applyAlignment="1">
      <alignment horizontal="center" vertical="center" wrapText="1"/>
    </xf>
    <xf numFmtId="4" fontId="0" fillId="2" borderId="19" xfId="0" applyNumberFormat="1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center" vertical="center" wrapText="1"/>
    </xf>
    <xf numFmtId="4" fontId="0" fillId="3" borderId="14" xfId="0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horizontal="center" vertical="center" wrapText="1"/>
    </xf>
    <xf numFmtId="2" fontId="18" fillId="3" borderId="19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Alignment="1">
      <alignment horizontal="right"/>
    </xf>
    <xf numFmtId="2" fontId="0" fillId="2" borderId="14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 vertical="center" wrapText="1"/>
    </xf>
    <xf numFmtId="2" fontId="0" fillId="2" borderId="15" xfId="0" applyNumberFormat="1" applyFont="1" applyFill="1" applyBorder="1" applyAlignment="1">
      <alignment horizontal="center" vertical="center" wrapText="1"/>
    </xf>
    <xf numFmtId="2" fontId="8" fillId="2" borderId="14" xfId="0" applyNumberFormat="1" applyFont="1" applyFill="1" applyBorder="1" applyAlignment="1">
      <alignment horizontal="center" vertical="center" wrapText="1"/>
    </xf>
    <xf numFmtId="2" fontId="9" fillId="2" borderId="14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4" fontId="8" fillId="2" borderId="14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 vertical="center" wrapText="1"/>
    </xf>
    <xf numFmtId="2" fontId="13" fillId="2" borderId="14" xfId="0" applyNumberFormat="1" applyFont="1" applyFill="1" applyBorder="1" applyAlignment="1">
      <alignment horizontal="center" vertical="center" wrapText="1"/>
    </xf>
    <xf numFmtId="4" fontId="13" fillId="2" borderId="21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/>
    <xf numFmtId="2" fontId="4" fillId="2" borderId="0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vertical="center"/>
    </xf>
    <xf numFmtId="4" fontId="13" fillId="2" borderId="3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/>
    </xf>
    <xf numFmtId="2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2" fontId="15" fillId="0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0" fillId="2" borderId="0" xfId="0" applyFill="1" applyAlignment="1"/>
    <xf numFmtId="2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/>
    <xf numFmtId="2" fontId="6" fillId="2" borderId="0" xfId="0" applyNumberFormat="1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2" fontId="15" fillId="2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67"/>
  <sheetViews>
    <sheetView topLeftCell="A125" zoomScale="90" zoomScaleNormal="90" workbookViewId="0">
      <selection activeCell="A130" sqref="A130:F130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20.5703125" style="1" customWidth="1"/>
    <col min="5" max="5" width="15.7109375" style="1" customWidth="1"/>
    <col min="6" max="6" width="20.85546875" style="1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10" ht="16.5" customHeight="1" x14ac:dyDescent="0.2">
      <c r="A1" s="193" t="s">
        <v>142</v>
      </c>
      <c r="B1" s="194"/>
      <c r="C1" s="194"/>
      <c r="D1" s="194"/>
      <c r="E1" s="194"/>
      <c r="F1" s="194"/>
    </row>
    <row r="2" spans="1:10" ht="12.75" customHeight="1" x14ac:dyDescent="0.3">
      <c r="B2" s="195"/>
      <c r="C2" s="195"/>
      <c r="D2" s="195"/>
      <c r="E2" s="194"/>
      <c r="F2" s="194"/>
    </row>
    <row r="3" spans="1:10" ht="21" customHeight="1" x14ac:dyDescent="0.3">
      <c r="A3" s="3" t="s">
        <v>164</v>
      </c>
      <c r="B3" s="195" t="s">
        <v>0</v>
      </c>
      <c r="C3" s="195"/>
      <c r="D3" s="195"/>
      <c r="E3" s="194"/>
      <c r="F3" s="194"/>
    </row>
    <row r="4" spans="1:10" ht="21" customHeight="1" x14ac:dyDescent="0.3">
      <c r="A4" s="3"/>
      <c r="B4" s="4"/>
      <c r="C4" s="30"/>
      <c r="D4" s="4"/>
      <c r="E4" s="5"/>
      <c r="F4" s="5"/>
    </row>
    <row r="5" spans="1:10" ht="14.25" customHeight="1" x14ac:dyDescent="0.3">
      <c r="B5" s="195" t="s">
        <v>143</v>
      </c>
      <c r="C5" s="195"/>
      <c r="D5" s="195"/>
      <c r="E5" s="194"/>
      <c r="F5" s="194"/>
    </row>
    <row r="6" spans="1:10" ht="18" customHeight="1" x14ac:dyDescent="0.4">
      <c r="A6" s="196" t="s">
        <v>166</v>
      </c>
      <c r="B6" s="196"/>
      <c r="C6" s="196"/>
      <c r="D6" s="196"/>
      <c r="E6" s="196"/>
      <c r="F6" s="196"/>
    </row>
    <row r="7" spans="1:10" s="6" customFormat="1" ht="22.5" customHeight="1" x14ac:dyDescent="0.4">
      <c r="A7" s="205" t="s">
        <v>1</v>
      </c>
      <c r="B7" s="205"/>
      <c r="C7" s="205"/>
      <c r="D7" s="205"/>
      <c r="E7" s="206"/>
      <c r="F7" s="206"/>
      <c r="I7" s="7"/>
    </row>
    <row r="8" spans="1:10" s="8" customFormat="1" ht="18.75" customHeight="1" x14ac:dyDescent="0.4">
      <c r="A8" s="205" t="s">
        <v>139</v>
      </c>
      <c r="B8" s="205"/>
      <c r="C8" s="205"/>
      <c r="D8" s="205"/>
      <c r="E8" s="206"/>
      <c r="F8" s="206"/>
    </row>
    <row r="9" spans="1:10" s="40" customFormat="1" ht="17.25" customHeight="1" x14ac:dyDescent="0.2">
      <c r="A9" s="207" t="s">
        <v>2</v>
      </c>
      <c r="B9" s="207"/>
      <c r="C9" s="207"/>
      <c r="D9" s="207"/>
      <c r="E9" s="208"/>
      <c r="F9" s="208"/>
      <c r="G9" s="204"/>
      <c r="H9" s="204"/>
      <c r="I9" s="204"/>
      <c r="J9" s="204"/>
    </row>
    <row r="10" spans="1:10" s="41" customFormat="1" ht="30" customHeight="1" thickBot="1" x14ac:dyDescent="0.25">
      <c r="A10" s="197" t="s">
        <v>3</v>
      </c>
      <c r="B10" s="197"/>
      <c r="C10" s="197"/>
      <c r="D10" s="197"/>
      <c r="E10" s="198"/>
      <c r="F10" s="198"/>
    </row>
    <row r="11" spans="1:10" s="46" customFormat="1" ht="139.5" customHeight="1" thickBot="1" x14ac:dyDescent="0.25">
      <c r="A11" s="42" t="s">
        <v>4</v>
      </c>
      <c r="B11" s="43" t="s">
        <v>5</v>
      </c>
      <c r="C11" s="44" t="s">
        <v>131</v>
      </c>
      <c r="D11" s="44" t="s">
        <v>7</v>
      </c>
      <c r="E11" s="44" t="s">
        <v>6</v>
      </c>
      <c r="F11" s="45" t="s">
        <v>8</v>
      </c>
      <c r="I11" s="47"/>
    </row>
    <row r="12" spans="1:10" s="53" customFormat="1" x14ac:dyDescent="0.2">
      <c r="A12" s="48">
        <v>1</v>
      </c>
      <c r="B12" s="49">
        <v>2</v>
      </c>
      <c r="C12" s="50">
        <v>3</v>
      </c>
      <c r="D12" s="50">
        <v>4</v>
      </c>
      <c r="E12" s="51">
        <v>5</v>
      </c>
      <c r="F12" s="52">
        <v>6</v>
      </c>
      <c r="I12" s="54"/>
    </row>
    <row r="13" spans="1:10" s="53" customFormat="1" ht="49.5" customHeight="1" x14ac:dyDescent="0.2">
      <c r="A13" s="199" t="s">
        <v>9</v>
      </c>
      <c r="B13" s="200"/>
      <c r="C13" s="200"/>
      <c r="D13" s="200"/>
      <c r="E13" s="201"/>
      <c r="F13" s="202"/>
      <c r="I13" s="54"/>
    </row>
    <row r="14" spans="1:10" s="46" customFormat="1" ht="16.5" customHeight="1" x14ac:dyDescent="0.2">
      <c r="A14" s="55" t="s">
        <v>77</v>
      </c>
      <c r="B14" s="56" t="s">
        <v>10</v>
      </c>
      <c r="C14" s="16" t="s">
        <v>141</v>
      </c>
      <c r="D14" s="34">
        <f>E14*G14</f>
        <v>136655.10999999999</v>
      </c>
      <c r="E14" s="11">
        <f>F14*12</f>
        <v>44.88</v>
      </c>
      <c r="F14" s="11">
        <f>F25+F31</f>
        <v>3.74</v>
      </c>
      <c r="G14" s="46">
        <v>3044.9</v>
      </c>
      <c r="H14" s="46">
        <v>1.07</v>
      </c>
      <c r="I14" s="47">
        <v>2.2400000000000002</v>
      </c>
    </row>
    <row r="15" spans="1:10" s="46" customFormat="1" ht="29.25" customHeight="1" x14ac:dyDescent="0.2">
      <c r="A15" s="59" t="s">
        <v>11</v>
      </c>
      <c r="B15" s="60" t="s">
        <v>12</v>
      </c>
      <c r="C15" s="61"/>
      <c r="D15" s="61"/>
      <c r="E15" s="62"/>
      <c r="F15" s="62"/>
      <c r="I15" s="47"/>
    </row>
    <row r="16" spans="1:10" s="46" customFormat="1" ht="24" customHeight="1" x14ac:dyDescent="0.2">
      <c r="A16" s="59" t="s">
        <v>13</v>
      </c>
      <c r="B16" s="60" t="s">
        <v>12</v>
      </c>
      <c r="C16" s="61"/>
      <c r="D16" s="61"/>
      <c r="E16" s="62"/>
      <c r="F16" s="62"/>
      <c r="I16" s="47"/>
    </row>
    <row r="17" spans="1:9" s="46" customFormat="1" ht="120" customHeight="1" x14ac:dyDescent="0.2">
      <c r="A17" s="59" t="s">
        <v>78</v>
      </c>
      <c r="B17" s="60" t="s">
        <v>27</v>
      </c>
      <c r="C17" s="61"/>
      <c r="D17" s="61"/>
      <c r="E17" s="62"/>
      <c r="F17" s="62"/>
      <c r="I17" s="47"/>
    </row>
    <row r="18" spans="1:9" s="46" customFormat="1" ht="15" x14ac:dyDescent="0.2">
      <c r="A18" s="59" t="s">
        <v>79</v>
      </c>
      <c r="B18" s="60" t="s">
        <v>12</v>
      </c>
      <c r="C18" s="61"/>
      <c r="D18" s="61"/>
      <c r="E18" s="62"/>
      <c r="F18" s="62"/>
      <c r="I18" s="47"/>
    </row>
    <row r="19" spans="1:9" s="46" customFormat="1" ht="15" x14ac:dyDescent="0.2">
      <c r="A19" s="59" t="s">
        <v>80</v>
      </c>
      <c r="B19" s="60" t="s">
        <v>12</v>
      </c>
      <c r="C19" s="61"/>
      <c r="D19" s="61"/>
      <c r="E19" s="62"/>
      <c r="F19" s="62"/>
      <c r="I19" s="47"/>
    </row>
    <row r="20" spans="1:9" s="46" customFormat="1" ht="25.5" x14ac:dyDescent="0.2">
      <c r="A20" s="59" t="s">
        <v>81</v>
      </c>
      <c r="B20" s="60" t="s">
        <v>18</v>
      </c>
      <c r="C20" s="61"/>
      <c r="D20" s="61"/>
      <c r="E20" s="62"/>
      <c r="F20" s="62"/>
      <c r="I20" s="47"/>
    </row>
    <row r="21" spans="1:9" s="46" customFormat="1" ht="15" x14ac:dyDescent="0.2">
      <c r="A21" s="59" t="s">
        <v>82</v>
      </c>
      <c r="B21" s="60" t="s">
        <v>21</v>
      </c>
      <c r="C21" s="61"/>
      <c r="D21" s="61"/>
      <c r="E21" s="62"/>
      <c r="F21" s="62"/>
      <c r="I21" s="47"/>
    </row>
    <row r="22" spans="1:9" s="46" customFormat="1" ht="15" x14ac:dyDescent="0.2">
      <c r="A22" s="36" t="s">
        <v>156</v>
      </c>
      <c r="B22" s="37" t="s">
        <v>12</v>
      </c>
      <c r="C22" s="61"/>
      <c r="D22" s="61"/>
      <c r="E22" s="62"/>
      <c r="F22" s="62"/>
      <c r="I22" s="47"/>
    </row>
    <row r="23" spans="1:9" s="46" customFormat="1" ht="15" x14ac:dyDescent="0.2">
      <c r="A23" s="36" t="s">
        <v>157</v>
      </c>
      <c r="B23" s="37" t="s">
        <v>12</v>
      </c>
      <c r="C23" s="61"/>
      <c r="D23" s="61"/>
      <c r="E23" s="62"/>
      <c r="F23" s="62"/>
      <c r="I23" s="47"/>
    </row>
    <row r="24" spans="1:9" s="46" customFormat="1" ht="15" x14ac:dyDescent="0.2">
      <c r="A24" s="59" t="s">
        <v>83</v>
      </c>
      <c r="B24" s="60" t="s">
        <v>26</v>
      </c>
      <c r="C24" s="61"/>
      <c r="D24" s="61"/>
      <c r="E24" s="62"/>
      <c r="F24" s="62"/>
      <c r="I24" s="47"/>
    </row>
    <row r="25" spans="1:9" s="46" customFormat="1" ht="15" x14ac:dyDescent="0.2">
      <c r="A25" s="55" t="s">
        <v>73</v>
      </c>
      <c r="B25" s="63"/>
      <c r="C25" s="61"/>
      <c r="D25" s="61"/>
      <c r="E25" s="62"/>
      <c r="F25" s="58">
        <v>3.61</v>
      </c>
      <c r="G25" s="46">
        <v>3044.9</v>
      </c>
      <c r="I25" s="47"/>
    </row>
    <row r="26" spans="1:9" s="46" customFormat="1" ht="15" x14ac:dyDescent="0.2">
      <c r="A26" s="64" t="s">
        <v>72</v>
      </c>
      <c r="B26" s="63" t="s">
        <v>12</v>
      </c>
      <c r="C26" s="61"/>
      <c r="D26" s="61"/>
      <c r="E26" s="62"/>
      <c r="F26" s="62">
        <v>0.13</v>
      </c>
      <c r="G26" s="46">
        <v>3044.9</v>
      </c>
      <c r="I26" s="47"/>
    </row>
    <row r="27" spans="1:9" s="46" customFormat="1" ht="15" x14ac:dyDescent="0.2">
      <c r="A27" s="12" t="s">
        <v>158</v>
      </c>
      <c r="B27" s="13" t="s">
        <v>10</v>
      </c>
      <c r="C27" s="61"/>
      <c r="D27" s="61">
        <v>0</v>
      </c>
      <c r="E27" s="62">
        <f>D27/G27</f>
        <v>0</v>
      </c>
      <c r="F27" s="62">
        <f>E27/12</f>
        <v>0</v>
      </c>
      <c r="G27" s="46">
        <v>3044.9</v>
      </c>
      <c r="I27" s="47"/>
    </row>
    <row r="28" spans="1:9" s="46" customFormat="1" ht="15" x14ac:dyDescent="0.2">
      <c r="A28" s="12" t="s">
        <v>159</v>
      </c>
      <c r="B28" s="13" t="s">
        <v>10</v>
      </c>
      <c r="C28" s="61"/>
      <c r="D28" s="61">
        <v>0</v>
      </c>
      <c r="E28" s="62">
        <f t="shared" ref="E28:E30" si="0">D28/G28</f>
        <v>0</v>
      </c>
      <c r="F28" s="62">
        <f t="shared" ref="F28:F30" si="1">E28/12</f>
        <v>0</v>
      </c>
      <c r="G28" s="46">
        <v>3044.9</v>
      </c>
      <c r="I28" s="47"/>
    </row>
    <row r="29" spans="1:9" s="46" customFormat="1" ht="15" x14ac:dyDescent="0.2">
      <c r="A29" s="12" t="s">
        <v>160</v>
      </c>
      <c r="B29" s="13" t="s">
        <v>10</v>
      </c>
      <c r="C29" s="61"/>
      <c r="D29" s="61">
        <v>0</v>
      </c>
      <c r="E29" s="62">
        <f t="shared" si="0"/>
        <v>0</v>
      </c>
      <c r="F29" s="62">
        <f t="shared" si="1"/>
        <v>0</v>
      </c>
      <c r="G29" s="46">
        <v>3044.9</v>
      </c>
      <c r="I29" s="47"/>
    </row>
    <row r="30" spans="1:9" s="46" customFormat="1" ht="15" x14ac:dyDescent="0.2">
      <c r="A30" s="12" t="s">
        <v>161</v>
      </c>
      <c r="B30" s="13" t="s">
        <v>10</v>
      </c>
      <c r="C30" s="61"/>
      <c r="D30" s="61">
        <v>0</v>
      </c>
      <c r="E30" s="62">
        <f t="shared" si="0"/>
        <v>0</v>
      </c>
      <c r="F30" s="62">
        <f t="shared" si="1"/>
        <v>0</v>
      </c>
      <c r="G30" s="46">
        <v>3044.9</v>
      </c>
      <c r="I30" s="47"/>
    </row>
    <row r="31" spans="1:9" s="46" customFormat="1" ht="15" x14ac:dyDescent="0.2">
      <c r="A31" s="55" t="s">
        <v>73</v>
      </c>
      <c r="B31" s="63"/>
      <c r="C31" s="61"/>
      <c r="D31" s="61"/>
      <c r="E31" s="62"/>
      <c r="F31" s="58">
        <f>F26+F27+F28+F29+F30</f>
        <v>0.13</v>
      </c>
      <c r="I31" s="47"/>
    </row>
    <row r="32" spans="1:9" s="46" customFormat="1" ht="30" x14ac:dyDescent="0.2">
      <c r="A32" s="55" t="s">
        <v>14</v>
      </c>
      <c r="B32" s="65" t="s">
        <v>15</v>
      </c>
      <c r="C32" s="57" t="s">
        <v>132</v>
      </c>
      <c r="D32" s="57">
        <f>E32*G32</f>
        <v>16613.419999999998</v>
      </c>
      <c r="E32" s="58">
        <f>12*F32</f>
        <v>6.48</v>
      </c>
      <c r="F32" s="11">
        <v>0.54</v>
      </c>
      <c r="G32" s="46">
        <v>2563.8000000000002</v>
      </c>
      <c r="H32" s="46">
        <v>1.07</v>
      </c>
      <c r="I32" s="47">
        <v>1.27</v>
      </c>
    </row>
    <row r="33" spans="1:9" s="46" customFormat="1" ht="15" x14ac:dyDescent="0.2">
      <c r="A33" s="59" t="s">
        <v>84</v>
      </c>
      <c r="B33" s="60" t="s">
        <v>15</v>
      </c>
      <c r="C33" s="57"/>
      <c r="D33" s="57"/>
      <c r="E33" s="58"/>
      <c r="F33" s="58"/>
      <c r="I33" s="47"/>
    </row>
    <row r="34" spans="1:9" s="46" customFormat="1" ht="15" x14ac:dyDescent="0.2">
      <c r="A34" s="59" t="s">
        <v>85</v>
      </c>
      <c r="B34" s="60" t="s">
        <v>86</v>
      </c>
      <c r="C34" s="57"/>
      <c r="D34" s="57"/>
      <c r="E34" s="58"/>
      <c r="F34" s="58"/>
      <c r="I34" s="47"/>
    </row>
    <row r="35" spans="1:9" s="46" customFormat="1" ht="15" x14ac:dyDescent="0.2">
      <c r="A35" s="59" t="s">
        <v>87</v>
      </c>
      <c r="B35" s="60" t="s">
        <v>88</v>
      </c>
      <c r="C35" s="57"/>
      <c r="D35" s="57"/>
      <c r="E35" s="58"/>
      <c r="F35" s="58"/>
      <c r="I35" s="47"/>
    </row>
    <row r="36" spans="1:9" s="46" customFormat="1" ht="15" x14ac:dyDescent="0.2">
      <c r="A36" s="59" t="s">
        <v>16</v>
      </c>
      <c r="B36" s="60" t="s">
        <v>15</v>
      </c>
      <c r="C36" s="57"/>
      <c r="D36" s="57"/>
      <c r="E36" s="58"/>
      <c r="F36" s="58"/>
      <c r="I36" s="47"/>
    </row>
    <row r="37" spans="1:9" s="46" customFormat="1" ht="25.5" x14ac:dyDescent="0.2">
      <c r="A37" s="59" t="s">
        <v>17</v>
      </c>
      <c r="B37" s="60" t="s">
        <v>18</v>
      </c>
      <c r="C37" s="57"/>
      <c r="D37" s="57"/>
      <c r="E37" s="58"/>
      <c r="F37" s="58"/>
      <c r="I37" s="47"/>
    </row>
    <row r="38" spans="1:9" s="46" customFormat="1" ht="15" x14ac:dyDescent="0.2">
      <c r="A38" s="59" t="s">
        <v>89</v>
      </c>
      <c r="B38" s="60" t="s">
        <v>15</v>
      </c>
      <c r="C38" s="57"/>
      <c r="D38" s="57"/>
      <c r="E38" s="58"/>
      <c r="F38" s="58"/>
      <c r="I38" s="47"/>
    </row>
    <row r="39" spans="1:9" s="46" customFormat="1" ht="15" x14ac:dyDescent="0.2">
      <c r="A39" s="59" t="s">
        <v>90</v>
      </c>
      <c r="B39" s="60" t="s">
        <v>15</v>
      </c>
      <c r="C39" s="57"/>
      <c r="D39" s="57"/>
      <c r="E39" s="58"/>
      <c r="F39" s="58"/>
      <c r="I39" s="47"/>
    </row>
    <row r="40" spans="1:9" s="46" customFormat="1" ht="25.5" x14ac:dyDescent="0.2">
      <c r="A40" s="59" t="s">
        <v>91</v>
      </c>
      <c r="B40" s="60" t="s">
        <v>19</v>
      </c>
      <c r="C40" s="57"/>
      <c r="D40" s="57"/>
      <c r="E40" s="58"/>
      <c r="F40" s="58"/>
      <c r="I40" s="47"/>
    </row>
    <row r="41" spans="1:9" s="46" customFormat="1" ht="25.5" x14ac:dyDescent="0.2">
      <c r="A41" s="59" t="s">
        <v>92</v>
      </c>
      <c r="B41" s="60" t="s">
        <v>18</v>
      </c>
      <c r="C41" s="57"/>
      <c r="D41" s="57"/>
      <c r="E41" s="58"/>
      <c r="F41" s="58"/>
      <c r="I41" s="47"/>
    </row>
    <row r="42" spans="1:9" s="46" customFormat="1" ht="25.5" x14ac:dyDescent="0.2">
      <c r="A42" s="59" t="s">
        <v>93</v>
      </c>
      <c r="B42" s="60" t="s">
        <v>15</v>
      </c>
      <c r="C42" s="57"/>
      <c r="D42" s="57"/>
      <c r="E42" s="58"/>
      <c r="F42" s="58"/>
      <c r="I42" s="47"/>
    </row>
    <row r="43" spans="1:9" s="67" customFormat="1" ht="21" customHeight="1" x14ac:dyDescent="0.2">
      <c r="A43" s="66" t="s">
        <v>20</v>
      </c>
      <c r="B43" s="56" t="s">
        <v>21</v>
      </c>
      <c r="C43" s="34"/>
      <c r="D43" s="34">
        <f>E43*G43</f>
        <v>32884.92</v>
      </c>
      <c r="E43" s="11">
        <f>F43*12</f>
        <v>10.8</v>
      </c>
      <c r="F43" s="11">
        <v>0.9</v>
      </c>
      <c r="G43" s="46">
        <v>3044.9</v>
      </c>
      <c r="H43" s="46">
        <v>1.07</v>
      </c>
      <c r="I43" s="47">
        <v>0.6</v>
      </c>
    </row>
    <row r="44" spans="1:9" s="46" customFormat="1" ht="15" x14ac:dyDescent="0.2">
      <c r="A44" s="66" t="s">
        <v>22</v>
      </c>
      <c r="B44" s="56" t="s">
        <v>23</v>
      </c>
      <c r="C44" s="34"/>
      <c r="D44" s="34">
        <f>E44*G44</f>
        <v>107058.68</v>
      </c>
      <c r="E44" s="11">
        <f>F44*12</f>
        <v>35.159999999999997</v>
      </c>
      <c r="F44" s="11">
        <v>2.93</v>
      </c>
      <c r="G44" s="46">
        <v>3044.9</v>
      </c>
      <c r="H44" s="46">
        <v>1.07</v>
      </c>
      <c r="I44" s="47">
        <v>1.94</v>
      </c>
    </row>
    <row r="45" spans="1:9" s="46" customFormat="1" ht="15" x14ac:dyDescent="0.2">
      <c r="A45" s="66" t="s">
        <v>136</v>
      </c>
      <c r="B45" s="56" t="s">
        <v>15</v>
      </c>
      <c r="C45" s="34" t="s">
        <v>133</v>
      </c>
      <c r="D45" s="34">
        <f>E45*G45</f>
        <v>55993.39</v>
      </c>
      <c r="E45" s="11">
        <f>F45*12</f>
        <v>21.84</v>
      </c>
      <c r="F45" s="11">
        <v>1.82</v>
      </c>
      <c r="G45" s="46">
        <v>2563.8000000000002</v>
      </c>
      <c r="H45" s="46">
        <v>1.07</v>
      </c>
      <c r="I45" s="47">
        <v>1.21</v>
      </c>
    </row>
    <row r="46" spans="1:9" s="46" customFormat="1" ht="45" x14ac:dyDescent="0.2">
      <c r="A46" s="66" t="s">
        <v>25</v>
      </c>
      <c r="B46" s="56" t="s">
        <v>137</v>
      </c>
      <c r="C46" s="34" t="s">
        <v>133</v>
      </c>
      <c r="D46" s="34">
        <f>3407.5*1*1.105*1.1*12*1.086</f>
        <v>53976.15</v>
      </c>
      <c r="E46" s="11">
        <f>D46/G46</f>
        <v>21.05</v>
      </c>
      <c r="F46" s="11">
        <f>E46/12</f>
        <v>1.75</v>
      </c>
      <c r="G46" s="46">
        <v>2563.8000000000002</v>
      </c>
      <c r="I46" s="47"/>
    </row>
    <row r="47" spans="1:9" s="46" customFormat="1" ht="20.25" customHeight="1" x14ac:dyDescent="0.2">
      <c r="A47" s="66" t="s">
        <v>94</v>
      </c>
      <c r="B47" s="56" t="s">
        <v>15</v>
      </c>
      <c r="C47" s="34" t="s">
        <v>171</v>
      </c>
      <c r="D47" s="34">
        <f>E47*G47</f>
        <v>65223.07</v>
      </c>
      <c r="E47" s="11">
        <f>F47*12</f>
        <v>25.44</v>
      </c>
      <c r="F47" s="11">
        <v>2.12</v>
      </c>
      <c r="G47" s="46">
        <v>2563.8000000000002</v>
      </c>
      <c r="H47" s="46">
        <v>1.07</v>
      </c>
      <c r="I47" s="47">
        <v>1.4</v>
      </c>
    </row>
    <row r="48" spans="1:9" s="46" customFormat="1" ht="15" x14ac:dyDescent="0.2">
      <c r="A48" s="59" t="s">
        <v>95</v>
      </c>
      <c r="B48" s="60" t="s">
        <v>27</v>
      </c>
      <c r="C48" s="57"/>
      <c r="D48" s="57"/>
      <c r="E48" s="58"/>
      <c r="F48" s="58"/>
      <c r="H48" s="46">
        <v>1.07</v>
      </c>
      <c r="I48" s="47">
        <v>0</v>
      </c>
    </row>
    <row r="49" spans="1:9" s="46" customFormat="1" ht="15" x14ac:dyDescent="0.2">
      <c r="A49" s="59" t="s">
        <v>96</v>
      </c>
      <c r="B49" s="60" t="s">
        <v>26</v>
      </c>
      <c r="C49" s="57"/>
      <c r="D49" s="57"/>
      <c r="E49" s="58"/>
      <c r="F49" s="58"/>
      <c r="H49" s="46">
        <v>1.07</v>
      </c>
      <c r="I49" s="47">
        <v>0</v>
      </c>
    </row>
    <row r="50" spans="1:9" s="46" customFormat="1" ht="15" x14ac:dyDescent="0.2">
      <c r="A50" s="59" t="s">
        <v>97</v>
      </c>
      <c r="B50" s="60" t="s">
        <v>24</v>
      </c>
      <c r="C50" s="57"/>
      <c r="D50" s="57"/>
      <c r="E50" s="58"/>
      <c r="F50" s="58"/>
      <c r="H50" s="46">
        <v>1.07</v>
      </c>
      <c r="I50" s="47">
        <v>0</v>
      </c>
    </row>
    <row r="51" spans="1:9" s="46" customFormat="1" ht="15" x14ac:dyDescent="0.2">
      <c r="A51" s="59" t="s">
        <v>98</v>
      </c>
      <c r="B51" s="60" t="s">
        <v>99</v>
      </c>
      <c r="C51" s="57"/>
      <c r="D51" s="57"/>
      <c r="E51" s="58"/>
      <c r="F51" s="58"/>
      <c r="H51" s="46">
        <v>1.07</v>
      </c>
      <c r="I51" s="47">
        <v>0</v>
      </c>
    </row>
    <row r="52" spans="1:9" s="46" customFormat="1" ht="15" x14ac:dyDescent="0.2">
      <c r="A52" s="59" t="s">
        <v>100</v>
      </c>
      <c r="B52" s="60" t="s">
        <v>24</v>
      </c>
      <c r="C52" s="57"/>
      <c r="D52" s="57"/>
      <c r="E52" s="58"/>
      <c r="F52" s="58"/>
      <c r="I52" s="47"/>
    </row>
    <row r="53" spans="1:9" s="46" customFormat="1" ht="28.5" x14ac:dyDescent="0.2">
      <c r="A53" s="66" t="s">
        <v>28</v>
      </c>
      <c r="B53" s="68" t="s">
        <v>29</v>
      </c>
      <c r="C53" s="34" t="s">
        <v>134</v>
      </c>
      <c r="D53" s="34">
        <f>(127677.24*1.086)+1000</f>
        <v>139657.48000000001</v>
      </c>
      <c r="E53" s="11">
        <f>D53/G53</f>
        <v>54.47</v>
      </c>
      <c r="F53" s="11">
        <f>E53/12</f>
        <v>4.54</v>
      </c>
      <c r="G53" s="46">
        <v>2563.8000000000002</v>
      </c>
      <c r="H53" s="46">
        <v>1.07</v>
      </c>
      <c r="I53" s="47">
        <v>2.99</v>
      </c>
    </row>
    <row r="54" spans="1:9" s="46" customFormat="1" ht="25.5" x14ac:dyDescent="0.2">
      <c r="A54" s="69" t="s">
        <v>101</v>
      </c>
      <c r="B54" s="70" t="s">
        <v>29</v>
      </c>
      <c r="C54" s="57"/>
      <c r="D54" s="57"/>
      <c r="E54" s="58"/>
      <c r="F54" s="58"/>
      <c r="I54" s="47"/>
    </row>
    <row r="55" spans="1:9" s="46" customFormat="1" ht="15" x14ac:dyDescent="0.2">
      <c r="A55" s="69" t="s">
        <v>102</v>
      </c>
      <c r="B55" s="70" t="s">
        <v>103</v>
      </c>
      <c r="C55" s="57"/>
      <c r="D55" s="57"/>
      <c r="E55" s="58"/>
      <c r="F55" s="58"/>
      <c r="I55" s="47"/>
    </row>
    <row r="56" spans="1:9" s="46" customFormat="1" ht="15" x14ac:dyDescent="0.2">
      <c r="A56" s="69" t="s">
        <v>104</v>
      </c>
      <c r="B56" s="70" t="s">
        <v>12</v>
      </c>
      <c r="C56" s="57"/>
      <c r="D56" s="57"/>
      <c r="E56" s="58"/>
      <c r="F56" s="58"/>
      <c r="I56" s="47"/>
    </row>
    <row r="57" spans="1:9" s="53" customFormat="1" ht="25.5" x14ac:dyDescent="0.2">
      <c r="A57" s="69" t="s">
        <v>105</v>
      </c>
      <c r="B57" s="70" t="s">
        <v>26</v>
      </c>
      <c r="C57" s="57"/>
      <c r="D57" s="57"/>
      <c r="E57" s="58"/>
      <c r="F57" s="58"/>
      <c r="G57" s="46"/>
      <c r="H57" s="46"/>
      <c r="I57" s="47"/>
    </row>
    <row r="58" spans="1:9" s="53" customFormat="1" ht="23.25" customHeight="1" x14ac:dyDescent="0.2">
      <c r="A58" s="69" t="s">
        <v>165</v>
      </c>
      <c r="B58" s="70" t="s">
        <v>26</v>
      </c>
      <c r="C58" s="61" t="s">
        <v>134</v>
      </c>
      <c r="D58" s="61"/>
      <c r="E58" s="62"/>
      <c r="F58" s="62"/>
      <c r="G58" s="46">
        <v>2563.8000000000002</v>
      </c>
      <c r="H58" s="46"/>
      <c r="I58" s="47"/>
    </row>
    <row r="59" spans="1:9" s="53" customFormat="1" ht="30.75" customHeight="1" x14ac:dyDescent="0.2">
      <c r="A59" s="66" t="s">
        <v>106</v>
      </c>
      <c r="B59" s="56" t="s">
        <v>10</v>
      </c>
      <c r="C59" s="34" t="s">
        <v>135</v>
      </c>
      <c r="D59" s="125">
        <v>2439.9899999999998</v>
      </c>
      <c r="E59" s="11">
        <f>D59/G59</f>
        <v>0.8</v>
      </c>
      <c r="F59" s="11">
        <f t="shared" ref="F59:F61" si="2">E59/12</f>
        <v>7.0000000000000007E-2</v>
      </c>
      <c r="G59" s="46">
        <v>3044.9</v>
      </c>
      <c r="H59" s="46">
        <v>1.07</v>
      </c>
      <c r="I59" s="47">
        <v>0.04</v>
      </c>
    </row>
    <row r="60" spans="1:9" s="53" customFormat="1" ht="30" x14ac:dyDescent="0.2">
      <c r="A60" s="66" t="s">
        <v>107</v>
      </c>
      <c r="B60" s="56" t="s">
        <v>10</v>
      </c>
      <c r="C60" s="34" t="s">
        <v>135</v>
      </c>
      <c r="D60" s="125">
        <v>15405.72</v>
      </c>
      <c r="E60" s="11">
        <f>D60/G60</f>
        <v>5.0599999999999996</v>
      </c>
      <c r="F60" s="11">
        <f t="shared" si="2"/>
        <v>0.42</v>
      </c>
      <c r="G60" s="46">
        <v>3044.9</v>
      </c>
      <c r="H60" s="46">
        <v>1.07</v>
      </c>
      <c r="I60" s="47">
        <v>0</v>
      </c>
    </row>
    <row r="61" spans="1:9" s="53" customFormat="1" ht="22.5" customHeight="1" x14ac:dyDescent="0.2">
      <c r="A61" s="66" t="s">
        <v>167</v>
      </c>
      <c r="B61" s="56" t="s">
        <v>48</v>
      </c>
      <c r="C61" s="34" t="s">
        <v>135</v>
      </c>
      <c r="D61" s="125">
        <v>15405.68</v>
      </c>
      <c r="E61" s="11">
        <f>D61/G61</f>
        <v>5.0599999999999996</v>
      </c>
      <c r="F61" s="11">
        <f t="shared" si="2"/>
        <v>0.42</v>
      </c>
      <c r="G61" s="46">
        <v>3044.9</v>
      </c>
      <c r="H61" s="46"/>
      <c r="I61" s="47"/>
    </row>
    <row r="62" spans="1:9" s="53" customFormat="1" ht="30" x14ac:dyDescent="0.2">
      <c r="A62" s="66" t="s">
        <v>30</v>
      </c>
      <c r="B62" s="56"/>
      <c r="C62" s="57" t="s">
        <v>172</v>
      </c>
      <c r="D62" s="34">
        <f>E62*G62</f>
        <v>6768.43</v>
      </c>
      <c r="E62" s="11">
        <f>12*F62</f>
        <v>2.64</v>
      </c>
      <c r="F62" s="11">
        <v>0.22</v>
      </c>
      <c r="G62" s="46">
        <v>2563.8000000000002</v>
      </c>
      <c r="H62" s="46"/>
      <c r="I62" s="47"/>
    </row>
    <row r="63" spans="1:9" s="53" customFormat="1" ht="33.75" customHeight="1" x14ac:dyDescent="0.2">
      <c r="A63" s="69" t="s">
        <v>108</v>
      </c>
      <c r="B63" s="71" t="s">
        <v>71</v>
      </c>
      <c r="C63" s="57"/>
      <c r="D63" s="57"/>
      <c r="E63" s="58"/>
      <c r="F63" s="58"/>
      <c r="G63" s="46"/>
      <c r="H63" s="46"/>
      <c r="I63" s="47"/>
    </row>
    <row r="64" spans="1:9" s="53" customFormat="1" ht="24" customHeight="1" x14ac:dyDescent="0.2">
      <c r="A64" s="69" t="s">
        <v>109</v>
      </c>
      <c r="B64" s="71" t="s">
        <v>71</v>
      </c>
      <c r="C64" s="57"/>
      <c r="D64" s="57"/>
      <c r="E64" s="58"/>
      <c r="F64" s="58"/>
      <c r="G64" s="46"/>
      <c r="H64" s="46"/>
      <c r="I64" s="47"/>
    </row>
    <row r="65" spans="1:9" s="53" customFormat="1" ht="15" x14ac:dyDescent="0.2">
      <c r="A65" s="69" t="s">
        <v>110</v>
      </c>
      <c r="B65" s="71" t="s">
        <v>12</v>
      </c>
      <c r="C65" s="57"/>
      <c r="D65" s="57"/>
      <c r="E65" s="58"/>
      <c r="F65" s="58"/>
      <c r="G65" s="46"/>
      <c r="H65" s="46"/>
      <c r="I65" s="47"/>
    </row>
    <row r="66" spans="1:9" s="53" customFormat="1" ht="15" x14ac:dyDescent="0.2">
      <c r="A66" s="69" t="s">
        <v>111</v>
      </c>
      <c r="B66" s="71" t="s">
        <v>71</v>
      </c>
      <c r="C66" s="57"/>
      <c r="D66" s="57"/>
      <c r="E66" s="58"/>
      <c r="F66" s="58"/>
      <c r="G66" s="46"/>
      <c r="H66" s="46"/>
      <c r="I66" s="47"/>
    </row>
    <row r="67" spans="1:9" s="53" customFormat="1" ht="25.5" x14ac:dyDescent="0.2">
      <c r="A67" s="69" t="s">
        <v>112</v>
      </c>
      <c r="B67" s="71" t="s">
        <v>71</v>
      </c>
      <c r="C67" s="57"/>
      <c r="D67" s="57"/>
      <c r="E67" s="58"/>
      <c r="F67" s="58"/>
      <c r="G67" s="46"/>
      <c r="H67" s="46"/>
      <c r="I67" s="47"/>
    </row>
    <row r="68" spans="1:9" s="53" customFormat="1" ht="15" x14ac:dyDescent="0.2">
      <c r="A68" s="69" t="s">
        <v>113</v>
      </c>
      <c r="B68" s="71" t="s">
        <v>71</v>
      </c>
      <c r="C68" s="57"/>
      <c r="D68" s="57"/>
      <c r="E68" s="58"/>
      <c r="F68" s="58"/>
      <c r="G68" s="46"/>
      <c r="H68" s="46"/>
      <c r="I68" s="47"/>
    </row>
    <row r="69" spans="1:9" s="53" customFormat="1" ht="25.5" x14ac:dyDescent="0.2">
      <c r="A69" s="69" t="s">
        <v>114</v>
      </c>
      <c r="B69" s="71" t="s">
        <v>71</v>
      </c>
      <c r="C69" s="57"/>
      <c r="D69" s="57"/>
      <c r="E69" s="58"/>
      <c r="F69" s="58"/>
      <c r="G69" s="46"/>
      <c r="H69" s="46"/>
      <c r="I69" s="47"/>
    </row>
    <row r="70" spans="1:9" s="53" customFormat="1" ht="15" x14ac:dyDescent="0.2">
      <c r="A70" s="69" t="s">
        <v>115</v>
      </c>
      <c r="B70" s="71" t="s">
        <v>71</v>
      </c>
      <c r="C70" s="57"/>
      <c r="D70" s="57"/>
      <c r="E70" s="58"/>
      <c r="F70" s="58"/>
      <c r="G70" s="46"/>
      <c r="H70" s="46"/>
      <c r="I70" s="47"/>
    </row>
    <row r="71" spans="1:9" s="53" customFormat="1" ht="15" x14ac:dyDescent="0.2">
      <c r="A71" s="69" t="s">
        <v>116</v>
      </c>
      <c r="B71" s="71" t="s">
        <v>71</v>
      </c>
      <c r="C71" s="57"/>
      <c r="D71" s="57"/>
      <c r="E71" s="58"/>
      <c r="F71" s="58"/>
      <c r="G71" s="46"/>
      <c r="H71" s="46"/>
      <c r="I71" s="47"/>
    </row>
    <row r="72" spans="1:9" s="53" customFormat="1" ht="30" x14ac:dyDescent="0.2">
      <c r="A72" s="127" t="s">
        <v>162</v>
      </c>
      <c r="B72" s="128"/>
      <c r="C72" s="125"/>
      <c r="D72" s="125">
        <v>41280</v>
      </c>
      <c r="E72" s="126">
        <f>D72/G72</f>
        <v>16.100000000000001</v>
      </c>
      <c r="F72" s="126">
        <f>E72/12</f>
        <v>1.34</v>
      </c>
      <c r="G72" s="46">
        <v>2563.8000000000002</v>
      </c>
      <c r="H72" s="46"/>
      <c r="I72" s="47"/>
    </row>
    <row r="73" spans="1:9" s="46" customFormat="1" ht="15" x14ac:dyDescent="0.2">
      <c r="A73" s="66" t="s">
        <v>31</v>
      </c>
      <c r="B73" s="56" t="s">
        <v>32</v>
      </c>
      <c r="C73" s="34" t="s">
        <v>173</v>
      </c>
      <c r="D73" s="34">
        <f>E73*G73</f>
        <v>2923.1</v>
      </c>
      <c r="E73" s="11">
        <f>F73*12</f>
        <v>0.96</v>
      </c>
      <c r="F73" s="11">
        <v>0.08</v>
      </c>
      <c r="G73" s="46">
        <v>3044.9</v>
      </c>
      <c r="H73" s="46">
        <v>1.07</v>
      </c>
      <c r="I73" s="47">
        <v>0.03</v>
      </c>
    </row>
    <row r="74" spans="1:9" s="46" customFormat="1" ht="15" x14ac:dyDescent="0.2">
      <c r="A74" s="66" t="s">
        <v>33</v>
      </c>
      <c r="B74" s="72" t="s">
        <v>34</v>
      </c>
      <c r="C74" s="34" t="s">
        <v>173</v>
      </c>
      <c r="D74" s="34">
        <f>E74*G74</f>
        <v>1826.94</v>
      </c>
      <c r="E74" s="11">
        <f>12*F74</f>
        <v>0.6</v>
      </c>
      <c r="F74" s="11">
        <v>0.05</v>
      </c>
      <c r="G74" s="46">
        <v>3044.9</v>
      </c>
      <c r="H74" s="46">
        <v>1.07</v>
      </c>
      <c r="I74" s="47">
        <v>0.02</v>
      </c>
    </row>
    <row r="75" spans="1:9" s="67" customFormat="1" ht="30" x14ac:dyDescent="0.2">
      <c r="A75" s="66" t="s">
        <v>35</v>
      </c>
      <c r="B75" s="56"/>
      <c r="C75" s="34" t="s">
        <v>140</v>
      </c>
      <c r="D75" s="34">
        <v>3535</v>
      </c>
      <c r="E75" s="11">
        <f>D75/G75</f>
        <v>1.1599999999999999</v>
      </c>
      <c r="F75" s="11">
        <f>E75/12</f>
        <v>0.1</v>
      </c>
      <c r="G75" s="46">
        <v>3044.9</v>
      </c>
      <c r="H75" s="46">
        <v>1.07</v>
      </c>
      <c r="I75" s="47">
        <v>0.03</v>
      </c>
    </row>
    <row r="76" spans="1:9" s="67" customFormat="1" ht="22.5" customHeight="1" x14ac:dyDescent="0.2">
      <c r="A76" s="66" t="s">
        <v>36</v>
      </c>
      <c r="B76" s="56"/>
      <c r="C76" s="58" t="s">
        <v>174</v>
      </c>
      <c r="D76" s="58">
        <f>D77+D78+D79+D80+D81+D82+D83+D84+D85+D88+D86+D87</f>
        <v>26036.720000000001</v>
      </c>
      <c r="E76" s="58"/>
      <c r="F76" s="58">
        <f>E76/12</f>
        <v>0</v>
      </c>
      <c r="G76" s="46">
        <v>3044.9</v>
      </c>
      <c r="H76" s="46">
        <v>1.07</v>
      </c>
      <c r="I76" s="47">
        <v>0.71</v>
      </c>
    </row>
    <row r="77" spans="1:9" s="53" customFormat="1" ht="15" x14ac:dyDescent="0.2">
      <c r="A77" s="73" t="s">
        <v>37</v>
      </c>
      <c r="B77" s="74" t="s">
        <v>26</v>
      </c>
      <c r="C77" s="75"/>
      <c r="D77" s="143">
        <v>389.23</v>
      </c>
      <c r="E77" s="76"/>
      <c r="F77" s="76"/>
      <c r="G77" s="46">
        <v>3044.9</v>
      </c>
      <c r="H77" s="46">
        <v>1.07</v>
      </c>
      <c r="I77" s="47">
        <v>0.01</v>
      </c>
    </row>
    <row r="78" spans="1:9" s="53" customFormat="1" ht="15" x14ac:dyDescent="0.2">
      <c r="A78" s="73" t="s">
        <v>38</v>
      </c>
      <c r="B78" s="74" t="s">
        <v>27</v>
      </c>
      <c r="C78" s="75"/>
      <c r="D78" s="143">
        <v>1097.78</v>
      </c>
      <c r="E78" s="76"/>
      <c r="F78" s="76"/>
      <c r="G78" s="46">
        <v>3044.9</v>
      </c>
      <c r="H78" s="46">
        <v>1.07</v>
      </c>
      <c r="I78" s="47">
        <v>0.01</v>
      </c>
    </row>
    <row r="79" spans="1:9" s="53" customFormat="1" ht="15" x14ac:dyDescent="0.2">
      <c r="A79" s="73" t="s">
        <v>69</v>
      </c>
      <c r="B79" s="77" t="s">
        <v>26</v>
      </c>
      <c r="C79" s="75"/>
      <c r="D79" s="143">
        <v>1956.15</v>
      </c>
      <c r="E79" s="76"/>
      <c r="F79" s="76"/>
      <c r="G79" s="46">
        <v>3044.9</v>
      </c>
      <c r="H79" s="46"/>
      <c r="I79" s="47"/>
    </row>
    <row r="80" spans="1:9" s="53" customFormat="1" ht="15" x14ac:dyDescent="0.2">
      <c r="A80" s="78" t="s">
        <v>119</v>
      </c>
      <c r="B80" s="77" t="s">
        <v>48</v>
      </c>
      <c r="C80" s="76"/>
      <c r="D80" s="76">
        <v>0</v>
      </c>
      <c r="E80" s="76"/>
      <c r="F80" s="76"/>
      <c r="G80" s="46">
        <v>3044.9</v>
      </c>
      <c r="H80" s="46">
        <v>1.07</v>
      </c>
      <c r="I80" s="47">
        <v>0.27</v>
      </c>
    </row>
    <row r="81" spans="1:9" s="53" customFormat="1" ht="15" x14ac:dyDescent="0.2">
      <c r="A81" s="73" t="s">
        <v>39</v>
      </c>
      <c r="B81" s="74" t="s">
        <v>26</v>
      </c>
      <c r="C81" s="75"/>
      <c r="D81" s="143">
        <v>2092</v>
      </c>
      <c r="E81" s="76"/>
      <c r="F81" s="76"/>
      <c r="G81" s="46">
        <v>3044.9</v>
      </c>
      <c r="H81" s="46">
        <v>1.07</v>
      </c>
      <c r="I81" s="47">
        <v>0.02</v>
      </c>
    </row>
    <row r="82" spans="1:9" s="53" customFormat="1" ht="15" x14ac:dyDescent="0.2">
      <c r="A82" s="73" t="s">
        <v>40</v>
      </c>
      <c r="B82" s="74" t="s">
        <v>26</v>
      </c>
      <c r="C82" s="75"/>
      <c r="D82" s="143">
        <v>6995.08</v>
      </c>
      <c r="E82" s="76"/>
      <c r="F82" s="76"/>
      <c r="G82" s="46">
        <v>3044.9</v>
      </c>
      <c r="H82" s="46">
        <v>1.07</v>
      </c>
      <c r="I82" s="47">
        <v>0.1</v>
      </c>
    </row>
    <row r="83" spans="1:9" s="53" customFormat="1" ht="15" x14ac:dyDescent="0.2">
      <c r="A83" s="73" t="s">
        <v>70</v>
      </c>
      <c r="B83" s="74" t="s">
        <v>26</v>
      </c>
      <c r="C83" s="75"/>
      <c r="D83" s="143">
        <v>1097.78</v>
      </c>
      <c r="E83" s="76"/>
      <c r="F83" s="76"/>
      <c r="G83" s="46">
        <v>3044.9</v>
      </c>
      <c r="H83" s="46">
        <v>1.07</v>
      </c>
      <c r="I83" s="47">
        <v>0.02</v>
      </c>
    </row>
    <row r="84" spans="1:9" s="53" customFormat="1" ht="15" x14ac:dyDescent="0.2">
      <c r="A84" s="73" t="s">
        <v>41</v>
      </c>
      <c r="B84" s="74" t="s">
        <v>26</v>
      </c>
      <c r="C84" s="75"/>
      <c r="D84" s="143">
        <v>1045.98</v>
      </c>
      <c r="E84" s="76"/>
      <c r="F84" s="76"/>
      <c r="G84" s="46">
        <v>3044.9</v>
      </c>
      <c r="H84" s="46">
        <v>1.07</v>
      </c>
      <c r="I84" s="47">
        <v>0.01</v>
      </c>
    </row>
    <row r="85" spans="1:9" s="53" customFormat="1" ht="15" x14ac:dyDescent="0.2">
      <c r="A85" s="73" t="s">
        <v>42</v>
      </c>
      <c r="B85" s="74" t="s">
        <v>27</v>
      </c>
      <c r="C85" s="75"/>
      <c r="D85" s="79">
        <v>0</v>
      </c>
      <c r="E85" s="76"/>
      <c r="F85" s="76"/>
      <c r="G85" s="46">
        <v>3044.9</v>
      </c>
      <c r="H85" s="46">
        <v>1.07</v>
      </c>
      <c r="I85" s="47">
        <v>0.04</v>
      </c>
    </row>
    <row r="86" spans="1:9" s="53" customFormat="1" ht="25.5" x14ac:dyDescent="0.2">
      <c r="A86" s="73" t="s">
        <v>43</v>
      </c>
      <c r="B86" s="74" t="s">
        <v>26</v>
      </c>
      <c r="C86" s="75"/>
      <c r="D86" s="143">
        <v>3452.6</v>
      </c>
      <c r="E86" s="76"/>
      <c r="F86" s="76"/>
      <c r="G86" s="46">
        <v>3044.9</v>
      </c>
      <c r="H86" s="46">
        <v>1.07</v>
      </c>
      <c r="I86" s="47">
        <v>0.06</v>
      </c>
    </row>
    <row r="87" spans="1:9" s="53" customFormat="1" ht="30" customHeight="1" x14ac:dyDescent="0.2">
      <c r="A87" s="20" t="s">
        <v>163</v>
      </c>
      <c r="B87" s="23" t="s">
        <v>26</v>
      </c>
      <c r="C87" s="75"/>
      <c r="D87" s="22">
        <v>674.01</v>
      </c>
      <c r="E87" s="76"/>
      <c r="F87" s="76"/>
      <c r="G87" s="46"/>
      <c r="H87" s="46"/>
      <c r="I87" s="47"/>
    </row>
    <row r="88" spans="1:9" s="53" customFormat="1" ht="22.5" customHeight="1" x14ac:dyDescent="0.2">
      <c r="A88" s="73" t="s">
        <v>44</v>
      </c>
      <c r="B88" s="74" t="s">
        <v>26</v>
      </c>
      <c r="C88" s="75"/>
      <c r="D88" s="143">
        <v>7236.11</v>
      </c>
      <c r="E88" s="76"/>
      <c r="F88" s="76"/>
      <c r="G88" s="46">
        <v>3044.9</v>
      </c>
      <c r="H88" s="46">
        <v>1.07</v>
      </c>
      <c r="I88" s="47">
        <v>0.01</v>
      </c>
    </row>
    <row r="89" spans="1:9" s="53" customFormat="1" ht="25.5" x14ac:dyDescent="0.2">
      <c r="A89" s="73" t="s">
        <v>117</v>
      </c>
      <c r="B89" s="77" t="s">
        <v>118</v>
      </c>
      <c r="C89" s="80"/>
      <c r="D89" s="75">
        <v>0</v>
      </c>
      <c r="E89" s="76"/>
      <c r="F89" s="76"/>
      <c r="G89" s="46">
        <v>3044.9</v>
      </c>
      <c r="H89" s="46"/>
      <c r="I89" s="47"/>
    </row>
    <row r="90" spans="1:9" s="53" customFormat="1" ht="18" customHeight="1" x14ac:dyDescent="0.2">
      <c r="A90" s="73" t="s">
        <v>120</v>
      </c>
      <c r="B90" s="77" t="s">
        <v>26</v>
      </c>
      <c r="C90" s="75"/>
      <c r="D90" s="75">
        <v>0</v>
      </c>
      <c r="E90" s="76"/>
      <c r="F90" s="76"/>
      <c r="G90" s="46">
        <v>3044.9</v>
      </c>
      <c r="H90" s="46"/>
      <c r="I90" s="47"/>
    </row>
    <row r="91" spans="1:9" s="67" customFormat="1" ht="30" x14ac:dyDescent="0.2">
      <c r="A91" s="66" t="s">
        <v>45</v>
      </c>
      <c r="B91" s="56"/>
      <c r="C91" s="58" t="s">
        <v>175</v>
      </c>
      <c r="D91" s="58">
        <f>D92+D93+D94+D95+D96+D97</f>
        <v>33083.980000000003</v>
      </c>
      <c r="E91" s="58"/>
      <c r="F91" s="58">
        <f>E91/12</f>
        <v>0</v>
      </c>
      <c r="G91" s="46">
        <v>3044.9</v>
      </c>
      <c r="H91" s="46">
        <v>1.07</v>
      </c>
      <c r="I91" s="47">
        <v>0.85</v>
      </c>
    </row>
    <row r="92" spans="1:9" s="53" customFormat="1" ht="25.5" x14ac:dyDescent="0.2">
      <c r="A92" s="73" t="s">
        <v>121</v>
      </c>
      <c r="B92" s="77" t="s">
        <v>27</v>
      </c>
      <c r="C92" s="75"/>
      <c r="D92" s="143">
        <v>25643.5</v>
      </c>
      <c r="E92" s="76"/>
      <c r="F92" s="76"/>
      <c r="G92" s="46">
        <v>3044.9</v>
      </c>
      <c r="H92" s="46">
        <v>3044.9</v>
      </c>
      <c r="I92" s="46">
        <v>3044.9</v>
      </c>
    </row>
    <row r="93" spans="1:9" s="53" customFormat="1" ht="25.5" x14ac:dyDescent="0.2">
      <c r="A93" s="73" t="s">
        <v>46</v>
      </c>
      <c r="B93" s="74" t="s">
        <v>47</v>
      </c>
      <c r="C93" s="75"/>
      <c r="D93" s="22">
        <v>0</v>
      </c>
      <c r="E93" s="76"/>
      <c r="F93" s="76"/>
      <c r="G93" s="46">
        <v>2563.8000000000002</v>
      </c>
      <c r="H93" s="46">
        <v>1.07</v>
      </c>
      <c r="I93" s="47">
        <v>0.04</v>
      </c>
    </row>
    <row r="94" spans="1:9" s="53" customFormat="1" ht="21" customHeight="1" x14ac:dyDescent="0.2">
      <c r="A94" s="73" t="s">
        <v>49</v>
      </c>
      <c r="B94" s="74" t="s">
        <v>10</v>
      </c>
      <c r="C94" s="80"/>
      <c r="D94" s="143">
        <v>7440.48</v>
      </c>
      <c r="E94" s="76"/>
      <c r="F94" s="76"/>
      <c r="G94" s="46">
        <v>3044.9</v>
      </c>
      <c r="H94" s="46">
        <v>1.07</v>
      </c>
      <c r="I94" s="47">
        <v>0.14000000000000001</v>
      </c>
    </row>
    <row r="95" spans="1:9" s="83" customFormat="1" ht="25.5" x14ac:dyDescent="0.2">
      <c r="A95" s="73" t="s">
        <v>117</v>
      </c>
      <c r="B95" s="77" t="s">
        <v>118</v>
      </c>
      <c r="C95" s="81"/>
      <c r="D95" s="32">
        <v>0</v>
      </c>
      <c r="E95" s="82"/>
      <c r="F95" s="82"/>
      <c r="G95" s="46">
        <v>3044.9</v>
      </c>
      <c r="H95" s="46"/>
      <c r="I95" s="47"/>
    </row>
    <row r="96" spans="1:9" s="83" customFormat="1" ht="15" x14ac:dyDescent="0.2">
      <c r="A96" s="73" t="s">
        <v>122</v>
      </c>
      <c r="B96" s="77" t="s">
        <v>26</v>
      </c>
      <c r="C96" s="81"/>
      <c r="D96" s="32">
        <v>0</v>
      </c>
      <c r="E96" s="82"/>
      <c r="F96" s="82"/>
      <c r="G96" s="46">
        <v>3044.9</v>
      </c>
      <c r="H96" s="46"/>
      <c r="I96" s="47"/>
    </row>
    <row r="97" spans="1:9" s="83" customFormat="1" ht="15" x14ac:dyDescent="0.2">
      <c r="A97" s="78" t="s">
        <v>123</v>
      </c>
      <c r="B97" s="77" t="s">
        <v>48</v>
      </c>
      <c r="C97" s="81"/>
      <c r="D97" s="32">
        <v>0</v>
      </c>
      <c r="E97" s="82"/>
      <c r="F97" s="82"/>
      <c r="G97" s="46">
        <v>3044.9</v>
      </c>
      <c r="H97" s="46"/>
      <c r="I97" s="47"/>
    </row>
    <row r="98" spans="1:9" s="53" customFormat="1" ht="30" x14ac:dyDescent="0.2">
      <c r="A98" s="66" t="s">
        <v>50</v>
      </c>
      <c r="B98" s="74"/>
      <c r="C98" s="58" t="s">
        <v>176</v>
      </c>
      <c r="D98" s="58">
        <f>D99</f>
        <v>0</v>
      </c>
      <c r="E98" s="58"/>
      <c r="F98" s="58">
        <f>E98/12</f>
        <v>0</v>
      </c>
      <c r="G98" s="46">
        <v>3044.9</v>
      </c>
      <c r="H98" s="46">
        <v>1.07</v>
      </c>
      <c r="I98" s="47">
        <v>0.41</v>
      </c>
    </row>
    <row r="99" spans="1:9" s="53" customFormat="1" ht="21" customHeight="1" x14ac:dyDescent="0.2">
      <c r="A99" s="73" t="s">
        <v>51</v>
      </c>
      <c r="B99" s="84" t="s">
        <v>48</v>
      </c>
      <c r="C99" s="75"/>
      <c r="D99" s="75">
        <v>0</v>
      </c>
      <c r="E99" s="76"/>
      <c r="F99" s="76"/>
      <c r="G99" s="46">
        <v>3044.9</v>
      </c>
      <c r="H99" s="46">
        <v>1.07</v>
      </c>
      <c r="I99" s="47">
        <v>0.27</v>
      </c>
    </row>
    <row r="100" spans="1:9" s="53" customFormat="1" ht="25.5" x14ac:dyDescent="0.2">
      <c r="A100" s="73" t="s">
        <v>117</v>
      </c>
      <c r="B100" s="77" t="s">
        <v>118</v>
      </c>
      <c r="C100" s="80"/>
      <c r="D100" s="80">
        <v>0</v>
      </c>
      <c r="E100" s="85"/>
      <c r="F100" s="85"/>
      <c r="G100" s="46">
        <v>3044.9</v>
      </c>
      <c r="H100" s="46"/>
      <c r="I100" s="47"/>
    </row>
    <row r="101" spans="1:9" s="53" customFormat="1" ht="15" x14ac:dyDescent="0.2">
      <c r="A101" s="73" t="s">
        <v>124</v>
      </c>
      <c r="B101" s="77" t="s">
        <v>26</v>
      </c>
      <c r="C101" s="80"/>
      <c r="D101" s="80">
        <v>0</v>
      </c>
      <c r="E101" s="85"/>
      <c r="F101" s="85"/>
      <c r="G101" s="46">
        <v>3044.9</v>
      </c>
      <c r="H101" s="46"/>
      <c r="I101" s="47"/>
    </row>
    <row r="102" spans="1:9" s="53" customFormat="1" ht="15" x14ac:dyDescent="0.2">
      <c r="A102" s="78" t="s">
        <v>125</v>
      </c>
      <c r="B102" s="77" t="s">
        <v>48</v>
      </c>
      <c r="C102" s="80"/>
      <c r="D102" s="80">
        <v>0</v>
      </c>
      <c r="E102" s="85"/>
      <c r="F102" s="85"/>
      <c r="G102" s="46">
        <v>3044.9</v>
      </c>
      <c r="H102" s="46"/>
      <c r="I102" s="47"/>
    </row>
    <row r="103" spans="1:9" s="53" customFormat="1" ht="17.25" customHeight="1" x14ac:dyDescent="0.2">
      <c r="A103" s="66" t="s">
        <v>126</v>
      </c>
      <c r="B103" s="74"/>
      <c r="C103" s="58" t="s">
        <v>179</v>
      </c>
      <c r="D103" s="58">
        <f>D104+D105+D106+D107+D108+D109+D110</f>
        <v>8625.59</v>
      </c>
      <c r="E103" s="58"/>
      <c r="F103" s="58">
        <f>E103/12</f>
        <v>0</v>
      </c>
      <c r="G103" s="46">
        <v>2563.8000000000002</v>
      </c>
      <c r="H103" s="46">
        <v>1.07</v>
      </c>
      <c r="I103" s="47">
        <v>0.18</v>
      </c>
    </row>
    <row r="104" spans="1:9" s="53" customFormat="1" ht="23.25" customHeight="1" x14ac:dyDescent="0.2">
      <c r="A104" s="73" t="s">
        <v>52</v>
      </c>
      <c r="B104" s="74" t="s">
        <v>10</v>
      </c>
      <c r="C104" s="75"/>
      <c r="D104" s="75">
        <f t="shared" ref="D104:D109" si="3">E104*G104</f>
        <v>0</v>
      </c>
      <c r="E104" s="76"/>
      <c r="F104" s="76"/>
      <c r="G104" s="46">
        <v>2563.8000000000002</v>
      </c>
      <c r="H104" s="46">
        <v>1.07</v>
      </c>
      <c r="I104" s="47">
        <v>0</v>
      </c>
    </row>
    <row r="105" spans="1:9" s="53" customFormat="1" ht="45" customHeight="1" x14ac:dyDescent="0.2">
      <c r="A105" s="73" t="s">
        <v>127</v>
      </c>
      <c r="B105" s="74" t="s">
        <v>26</v>
      </c>
      <c r="C105" s="75"/>
      <c r="D105" s="143">
        <v>7532.19</v>
      </c>
      <c r="E105" s="76"/>
      <c r="F105" s="76"/>
      <c r="G105" s="46">
        <v>2563.8000000000002</v>
      </c>
      <c r="H105" s="46">
        <v>1.07</v>
      </c>
      <c r="I105" s="47">
        <v>0.16</v>
      </c>
    </row>
    <row r="106" spans="1:9" s="53" customFormat="1" ht="38.25" x14ac:dyDescent="0.2">
      <c r="A106" s="73" t="s">
        <v>128</v>
      </c>
      <c r="B106" s="74" t="s">
        <v>26</v>
      </c>
      <c r="C106" s="75"/>
      <c r="D106" s="143">
        <v>1093.4000000000001</v>
      </c>
      <c r="E106" s="76"/>
      <c r="F106" s="76"/>
      <c r="G106" s="46">
        <v>2563.8000000000002</v>
      </c>
      <c r="H106" s="46">
        <v>1.07</v>
      </c>
      <c r="I106" s="47">
        <v>0.02</v>
      </c>
    </row>
    <row r="107" spans="1:9" s="53" customFormat="1" ht="27.75" customHeight="1" x14ac:dyDescent="0.2">
      <c r="A107" s="73" t="s">
        <v>54</v>
      </c>
      <c r="B107" s="74" t="s">
        <v>18</v>
      </c>
      <c r="C107" s="75"/>
      <c r="D107" s="75">
        <f t="shared" si="3"/>
        <v>0</v>
      </c>
      <c r="E107" s="76"/>
      <c r="F107" s="76"/>
      <c r="G107" s="46">
        <v>2563.8000000000002</v>
      </c>
      <c r="H107" s="46">
        <v>1.07</v>
      </c>
      <c r="I107" s="47">
        <v>0</v>
      </c>
    </row>
    <row r="108" spans="1:9" s="53" customFormat="1" ht="18.75" customHeight="1" x14ac:dyDescent="0.2">
      <c r="A108" s="73" t="s">
        <v>53</v>
      </c>
      <c r="B108" s="77" t="s">
        <v>55</v>
      </c>
      <c r="C108" s="75"/>
      <c r="D108" s="75">
        <f t="shared" si="3"/>
        <v>0</v>
      </c>
      <c r="E108" s="76"/>
      <c r="F108" s="76"/>
      <c r="G108" s="46">
        <v>2563.8000000000002</v>
      </c>
      <c r="H108" s="46">
        <v>1.07</v>
      </c>
      <c r="I108" s="47">
        <v>0</v>
      </c>
    </row>
    <row r="109" spans="1:9" s="53" customFormat="1" ht="57.75" customHeight="1" x14ac:dyDescent="0.2">
      <c r="A109" s="73" t="s">
        <v>129</v>
      </c>
      <c r="B109" s="77" t="s">
        <v>71</v>
      </c>
      <c r="C109" s="75"/>
      <c r="D109" s="75">
        <f t="shared" si="3"/>
        <v>0</v>
      </c>
      <c r="E109" s="76"/>
      <c r="F109" s="76"/>
      <c r="G109" s="46">
        <v>2563.8000000000002</v>
      </c>
      <c r="H109" s="46">
        <v>1.07</v>
      </c>
      <c r="I109" s="47">
        <v>0</v>
      </c>
    </row>
    <row r="110" spans="1:9" s="53" customFormat="1" ht="22.5" customHeight="1" x14ac:dyDescent="0.2">
      <c r="A110" s="73" t="s">
        <v>138</v>
      </c>
      <c r="B110" s="77" t="s">
        <v>48</v>
      </c>
      <c r="C110" s="80"/>
      <c r="D110" s="80">
        <v>0</v>
      </c>
      <c r="E110" s="85"/>
      <c r="F110" s="85"/>
      <c r="G110" s="46">
        <v>2563.8000000000002</v>
      </c>
      <c r="H110" s="46"/>
      <c r="I110" s="47"/>
    </row>
    <row r="111" spans="1:9" s="53" customFormat="1" ht="15" x14ac:dyDescent="0.2">
      <c r="A111" s="66" t="s">
        <v>56</v>
      </c>
      <c r="B111" s="74"/>
      <c r="C111" s="58" t="s">
        <v>177</v>
      </c>
      <c r="D111" s="58">
        <f>D112</f>
        <v>1311.87</v>
      </c>
      <c r="E111" s="58"/>
      <c r="F111" s="58">
        <f>E111/12</f>
        <v>0</v>
      </c>
      <c r="G111" s="46">
        <v>3044.9</v>
      </c>
      <c r="H111" s="46">
        <v>1.07</v>
      </c>
      <c r="I111" s="47">
        <v>0.12</v>
      </c>
    </row>
    <row r="112" spans="1:9" s="53" customFormat="1" ht="15" x14ac:dyDescent="0.2">
      <c r="A112" s="73" t="s">
        <v>57</v>
      </c>
      <c r="B112" s="74" t="s">
        <v>26</v>
      </c>
      <c r="C112" s="75"/>
      <c r="D112" s="143">
        <v>1311.87</v>
      </c>
      <c r="E112" s="76"/>
      <c r="F112" s="76"/>
      <c r="G112" s="46">
        <v>3044.9</v>
      </c>
      <c r="H112" s="46">
        <v>1.07</v>
      </c>
      <c r="I112" s="47">
        <v>0.02</v>
      </c>
    </row>
    <row r="113" spans="1:9" s="46" customFormat="1" ht="30" x14ac:dyDescent="0.2">
      <c r="A113" s="66" t="s">
        <v>58</v>
      </c>
      <c r="B113" s="56"/>
      <c r="C113" s="58" t="s">
        <v>178</v>
      </c>
      <c r="D113" s="58">
        <f>D114+D115</f>
        <v>21280</v>
      </c>
      <c r="E113" s="58"/>
      <c r="F113" s="58">
        <f>E113/12</f>
        <v>0</v>
      </c>
      <c r="G113" s="46">
        <v>2563.8000000000002</v>
      </c>
      <c r="H113" s="46">
        <v>1.07</v>
      </c>
      <c r="I113" s="47">
        <v>0.64</v>
      </c>
    </row>
    <row r="114" spans="1:9" s="53" customFormat="1" ht="46.5" customHeight="1" x14ac:dyDescent="0.2">
      <c r="A114" s="69" t="s">
        <v>130</v>
      </c>
      <c r="B114" s="77" t="s">
        <v>27</v>
      </c>
      <c r="C114" s="75"/>
      <c r="D114" s="22">
        <v>12480</v>
      </c>
      <c r="E114" s="76"/>
      <c r="F114" s="76"/>
      <c r="G114" s="46">
        <v>2563.8000000000002</v>
      </c>
      <c r="H114" s="46">
        <v>1.07</v>
      </c>
      <c r="I114" s="47">
        <v>0.04</v>
      </c>
    </row>
    <row r="115" spans="1:9" s="53" customFormat="1" ht="27" customHeight="1" x14ac:dyDescent="0.2">
      <c r="A115" s="69" t="s">
        <v>168</v>
      </c>
      <c r="B115" s="77" t="s">
        <v>71</v>
      </c>
      <c r="C115" s="75"/>
      <c r="D115" s="22">
        <v>8800</v>
      </c>
      <c r="E115" s="76"/>
      <c r="F115" s="76"/>
      <c r="G115" s="46">
        <v>2563.8000000000002</v>
      </c>
      <c r="H115" s="46">
        <v>1.07</v>
      </c>
      <c r="I115" s="47">
        <v>0.6</v>
      </c>
    </row>
    <row r="116" spans="1:9" s="46" customFormat="1" ht="15" x14ac:dyDescent="0.2">
      <c r="A116" s="66" t="s">
        <v>59</v>
      </c>
      <c r="B116" s="56"/>
      <c r="C116" s="58" t="s">
        <v>173</v>
      </c>
      <c r="D116" s="58">
        <f>D117+D118</f>
        <v>1457.82</v>
      </c>
      <c r="E116" s="58"/>
      <c r="F116" s="58">
        <f>E116/12</f>
        <v>0</v>
      </c>
      <c r="G116" s="46">
        <v>2563.8000000000002</v>
      </c>
      <c r="H116" s="46">
        <v>1.07</v>
      </c>
      <c r="I116" s="47">
        <v>0.05</v>
      </c>
    </row>
    <row r="117" spans="1:9" s="53" customFormat="1" ht="15" x14ac:dyDescent="0.2">
      <c r="A117" s="73" t="s">
        <v>74</v>
      </c>
      <c r="B117" s="74" t="s">
        <v>60</v>
      </c>
      <c r="C117" s="75"/>
      <c r="D117" s="24">
        <v>1457.82</v>
      </c>
      <c r="E117" s="86"/>
      <c r="F117" s="86"/>
      <c r="G117" s="46">
        <v>2563.8000000000002</v>
      </c>
      <c r="H117" s="46">
        <v>1.07</v>
      </c>
      <c r="I117" s="47">
        <v>0.03</v>
      </c>
    </row>
    <row r="118" spans="1:9" s="53" customFormat="1" ht="15" x14ac:dyDescent="0.2">
      <c r="A118" s="73" t="s">
        <v>61</v>
      </c>
      <c r="B118" s="74" t="s">
        <v>60</v>
      </c>
      <c r="C118" s="75"/>
      <c r="D118" s="75">
        <v>0</v>
      </c>
      <c r="E118" s="76"/>
      <c r="F118" s="76"/>
      <c r="G118" s="46">
        <v>2563.8000000000002</v>
      </c>
      <c r="H118" s="46">
        <v>1.07</v>
      </c>
      <c r="I118" s="47">
        <v>0.02</v>
      </c>
    </row>
    <row r="119" spans="1:9" s="46" customFormat="1" ht="117" x14ac:dyDescent="0.2">
      <c r="A119" s="66" t="s">
        <v>169</v>
      </c>
      <c r="B119" s="56" t="s">
        <v>18</v>
      </c>
      <c r="C119" s="87"/>
      <c r="D119" s="88">
        <v>50000</v>
      </c>
      <c r="E119" s="88">
        <f>D119/G119</f>
        <v>19.5</v>
      </c>
      <c r="F119" s="88">
        <f>E119/12</f>
        <v>1.63</v>
      </c>
      <c r="G119" s="46">
        <v>2563.8000000000002</v>
      </c>
      <c r="H119" s="46">
        <v>1.07</v>
      </c>
      <c r="I119" s="47">
        <v>0.3</v>
      </c>
    </row>
    <row r="120" spans="1:9" s="46" customFormat="1" ht="18.75" x14ac:dyDescent="0.2">
      <c r="A120" s="25" t="s">
        <v>180</v>
      </c>
      <c r="B120" s="9" t="s">
        <v>10</v>
      </c>
      <c r="C120" s="87"/>
      <c r="D120" s="87">
        <f>12004.62+1948.84</f>
        <v>13953.46</v>
      </c>
      <c r="E120" s="87">
        <f>D120/G120</f>
        <v>5.44</v>
      </c>
      <c r="F120" s="87">
        <f>E120/12</f>
        <v>0.45</v>
      </c>
      <c r="G120" s="46">
        <v>2563.8000000000002</v>
      </c>
      <c r="I120" s="47"/>
    </row>
    <row r="121" spans="1:9" s="46" customFormat="1" ht="18.75" x14ac:dyDescent="0.2">
      <c r="A121" s="25" t="s">
        <v>181</v>
      </c>
      <c r="B121" s="9" t="s">
        <v>10</v>
      </c>
      <c r="C121" s="89"/>
      <c r="D121" s="87">
        <f>(1948.84+24277.76+4423.71)</f>
        <v>30650.31</v>
      </c>
      <c r="E121" s="87">
        <f t="shared" ref="E121:E123" si="4">D121/G121</f>
        <v>11.96</v>
      </c>
      <c r="F121" s="87">
        <f t="shared" ref="F121:F123" si="5">E121/12</f>
        <v>1</v>
      </c>
      <c r="G121" s="46">
        <v>2563.8000000000002</v>
      </c>
      <c r="I121" s="47"/>
    </row>
    <row r="122" spans="1:9" s="46" customFormat="1" ht="18.75" x14ac:dyDescent="0.2">
      <c r="A122" s="25" t="s">
        <v>182</v>
      </c>
      <c r="B122" s="9" t="s">
        <v>10</v>
      </c>
      <c r="C122" s="89"/>
      <c r="D122" s="87">
        <v>53980.38</v>
      </c>
      <c r="E122" s="87">
        <f t="shared" si="4"/>
        <v>21.05</v>
      </c>
      <c r="F122" s="87">
        <f t="shared" si="5"/>
        <v>1.75</v>
      </c>
      <c r="G122" s="46">
        <v>2563.8000000000002</v>
      </c>
      <c r="I122" s="47"/>
    </row>
    <row r="123" spans="1:9" s="46" customFormat="1" ht="19.5" thickBot="1" x14ac:dyDescent="0.25">
      <c r="A123" s="25" t="s">
        <v>183</v>
      </c>
      <c r="B123" s="9" t="s">
        <v>10</v>
      </c>
      <c r="C123" s="89"/>
      <c r="D123" s="87">
        <v>16151.77</v>
      </c>
      <c r="E123" s="87">
        <f t="shared" si="4"/>
        <v>6.3</v>
      </c>
      <c r="F123" s="87">
        <f t="shared" si="5"/>
        <v>0.53</v>
      </c>
      <c r="G123" s="46">
        <v>2563.8000000000002</v>
      </c>
      <c r="I123" s="47"/>
    </row>
    <row r="124" spans="1:9" s="46" customFormat="1" ht="30.75" thickBot="1" x14ac:dyDescent="0.25">
      <c r="A124" s="90" t="s">
        <v>62</v>
      </c>
      <c r="B124" s="91" t="s">
        <v>170</v>
      </c>
      <c r="C124" s="87"/>
      <c r="D124" s="35">
        <v>14830</v>
      </c>
      <c r="E124" s="33">
        <f>D124/G124</f>
        <v>5.78</v>
      </c>
      <c r="F124" s="33">
        <f>E124/12</f>
        <v>0.48</v>
      </c>
      <c r="G124" s="46">
        <v>2563.8000000000002</v>
      </c>
      <c r="I124" s="47"/>
    </row>
    <row r="125" spans="1:9" s="46" customFormat="1" ht="19.5" thickBot="1" x14ac:dyDescent="0.25">
      <c r="A125" s="92" t="s">
        <v>63</v>
      </c>
      <c r="B125" s="93" t="s">
        <v>15</v>
      </c>
      <c r="C125" s="89"/>
      <c r="D125" s="94">
        <f>E125*G125</f>
        <v>51558.5</v>
      </c>
      <c r="E125" s="87">
        <f>12*F125</f>
        <v>24.72</v>
      </c>
      <c r="F125" s="87">
        <v>2.06</v>
      </c>
      <c r="G125" s="46">
        <f>2563.8-478.1</f>
        <v>2085.6999999999998</v>
      </c>
      <c r="I125" s="47"/>
    </row>
    <row r="126" spans="1:9" s="46" customFormat="1" ht="20.25" thickBot="1" x14ac:dyDescent="0.45">
      <c r="A126" s="95" t="s">
        <v>64</v>
      </c>
      <c r="B126" s="96"/>
      <c r="C126" s="97"/>
      <c r="D126" s="98">
        <f>D124+D119+D116+D113+D111+D103+D98+D91+D76+D75+D74+D73+D59+D57+D53+D47+D46+D45+D44+D43+D32+D14+D125+D62+D60+D58+D120+D121+D122+D123+D72+D61</f>
        <v>1020567.48</v>
      </c>
      <c r="E126" s="99"/>
      <c r="F126" s="99"/>
      <c r="I126" s="47"/>
    </row>
    <row r="127" spans="1:9" s="108" customFormat="1" ht="19.5" thickBot="1" x14ac:dyDescent="0.45">
      <c r="A127" s="105"/>
      <c r="B127" s="106"/>
      <c r="C127" s="107"/>
      <c r="D127" s="107"/>
      <c r="E127" s="107"/>
      <c r="F127" s="107"/>
      <c r="I127" s="109"/>
    </row>
    <row r="128" spans="1:9" s="108" customFormat="1" ht="38.25" thickBot="1" x14ac:dyDescent="0.45">
      <c r="A128" s="92" t="s">
        <v>65</v>
      </c>
      <c r="B128" s="115"/>
      <c r="C128" s="116"/>
      <c r="D128" s="120">
        <f>SUM(D129:D140)</f>
        <v>1847146.85</v>
      </c>
      <c r="E128" s="120">
        <f>SUM(E129:E140)</f>
        <v>718.83</v>
      </c>
      <c r="F128" s="120">
        <f>SUM(F129:F140)</f>
        <v>59.9</v>
      </c>
      <c r="G128" s="46">
        <v>2563.8000000000002</v>
      </c>
      <c r="I128" s="109"/>
    </row>
    <row r="129" spans="1:9" s="117" customFormat="1" ht="15" x14ac:dyDescent="0.2">
      <c r="A129" s="12" t="s">
        <v>145</v>
      </c>
      <c r="B129" s="77"/>
      <c r="C129" s="79"/>
      <c r="D129" s="121">
        <v>554447.43000000005</v>
      </c>
      <c r="E129" s="122">
        <f>D129/G129</f>
        <v>216.26</v>
      </c>
      <c r="F129" s="122">
        <f>E129/12</f>
        <v>18.02</v>
      </c>
      <c r="G129" s="46">
        <v>2563.8000000000002</v>
      </c>
      <c r="H129" s="46"/>
      <c r="I129" s="47"/>
    </row>
    <row r="130" spans="1:9" s="117" customFormat="1" ht="15" x14ac:dyDescent="0.2">
      <c r="A130" s="31" t="s">
        <v>146</v>
      </c>
      <c r="B130" s="77"/>
      <c r="C130" s="79"/>
      <c r="D130" s="121">
        <v>12028.98</v>
      </c>
      <c r="E130" s="122">
        <f t="shared" ref="E130:E140" si="6">D130/G130</f>
        <v>4.6900000000000004</v>
      </c>
      <c r="F130" s="122">
        <f t="shared" ref="F130:F140" si="7">E130/12</f>
        <v>0.39</v>
      </c>
      <c r="G130" s="46">
        <v>2563.8000000000002</v>
      </c>
      <c r="H130" s="46"/>
      <c r="I130" s="47"/>
    </row>
    <row r="131" spans="1:9" s="117" customFormat="1" ht="25.5" x14ac:dyDescent="0.2">
      <c r="A131" s="31" t="s">
        <v>147</v>
      </c>
      <c r="B131" s="77"/>
      <c r="C131" s="79"/>
      <c r="D131" s="121">
        <v>53244.01</v>
      </c>
      <c r="E131" s="122">
        <f t="shared" si="6"/>
        <v>20.77</v>
      </c>
      <c r="F131" s="122">
        <f t="shared" si="7"/>
        <v>1.73</v>
      </c>
      <c r="G131" s="46">
        <v>2563.8000000000002</v>
      </c>
      <c r="H131" s="46"/>
      <c r="I131" s="47"/>
    </row>
    <row r="132" spans="1:9" s="117" customFormat="1" ht="15" x14ac:dyDescent="0.2">
      <c r="A132" s="31" t="s">
        <v>148</v>
      </c>
      <c r="B132" s="77"/>
      <c r="C132" s="79"/>
      <c r="D132" s="121">
        <v>259092.32</v>
      </c>
      <c r="E132" s="122">
        <f t="shared" si="6"/>
        <v>101.06</v>
      </c>
      <c r="F132" s="122">
        <f t="shared" si="7"/>
        <v>8.42</v>
      </c>
      <c r="G132" s="46">
        <v>2563.8000000000002</v>
      </c>
      <c r="H132" s="46"/>
      <c r="I132" s="47"/>
    </row>
    <row r="133" spans="1:9" s="117" customFormat="1" ht="15" x14ac:dyDescent="0.2">
      <c r="A133" s="31" t="s">
        <v>149</v>
      </c>
      <c r="B133" s="77"/>
      <c r="C133" s="79"/>
      <c r="D133" s="121">
        <v>26328.39</v>
      </c>
      <c r="E133" s="122">
        <f t="shared" si="6"/>
        <v>10.27</v>
      </c>
      <c r="F133" s="122">
        <f t="shared" si="7"/>
        <v>0.86</v>
      </c>
      <c r="G133" s="46">
        <v>2563.8000000000002</v>
      </c>
      <c r="H133" s="46"/>
      <c r="I133" s="47"/>
    </row>
    <row r="134" spans="1:9" s="117" customFormat="1" ht="25.5" x14ac:dyDescent="0.2">
      <c r="A134" s="12" t="s">
        <v>150</v>
      </c>
      <c r="B134" s="77"/>
      <c r="C134" s="79"/>
      <c r="D134" s="121">
        <v>10346.48</v>
      </c>
      <c r="E134" s="122">
        <f t="shared" si="6"/>
        <v>4.04</v>
      </c>
      <c r="F134" s="122">
        <f t="shared" si="7"/>
        <v>0.34</v>
      </c>
      <c r="G134" s="46">
        <v>2563.8000000000002</v>
      </c>
      <c r="H134" s="46"/>
      <c r="I134" s="47"/>
    </row>
    <row r="135" spans="1:9" s="117" customFormat="1" ht="15" x14ac:dyDescent="0.2">
      <c r="A135" s="31" t="s">
        <v>151</v>
      </c>
      <c r="B135" s="77"/>
      <c r="C135" s="79"/>
      <c r="D135" s="121">
        <v>79434.61</v>
      </c>
      <c r="E135" s="122">
        <f t="shared" si="6"/>
        <v>30.98</v>
      </c>
      <c r="F135" s="122">
        <f t="shared" si="7"/>
        <v>2.58</v>
      </c>
      <c r="G135" s="46">
        <v>2563.8000000000002</v>
      </c>
      <c r="H135" s="46"/>
      <c r="I135" s="47"/>
    </row>
    <row r="136" spans="1:9" s="117" customFormat="1" ht="25.5" x14ac:dyDescent="0.2">
      <c r="A136" s="31" t="s">
        <v>152</v>
      </c>
      <c r="B136" s="77"/>
      <c r="C136" s="79"/>
      <c r="D136" s="121">
        <v>41350.550000000003</v>
      </c>
      <c r="E136" s="122">
        <f t="shared" si="6"/>
        <v>16.13</v>
      </c>
      <c r="F136" s="122">
        <f t="shared" si="7"/>
        <v>1.34</v>
      </c>
      <c r="G136" s="46">
        <v>2563.8000000000002</v>
      </c>
      <c r="H136" s="46"/>
      <c r="I136" s="47"/>
    </row>
    <row r="137" spans="1:9" s="117" customFormat="1" ht="25.5" x14ac:dyDescent="0.2">
      <c r="A137" s="137" t="s">
        <v>153</v>
      </c>
      <c r="B137" s="138"/>
      <c r="C137" s="24"/>
      <c r="D137" s="129">
        <v>26562.06</v>
      </c>
      <c r="E137" s="139">
        <f t="shared" si="6"/>
        <v>8.7200000000000006</v>
      </c>
      <c r="F137" s="139">
        <f t="shared" si="7"/>
        <v>0.73</v>
      </c>
      <c r="G137" s="46">
        <v>3044.9</v>
      </c>
      <c r="H137" s="46"/>
      <c r="I137" s="47"/>
    </row>
    <row r="138" spans="1:9" s="117" customFormat="1" ht="15" x14ac:dyDescent="0.2">
      <c r="A138" s="31" t="s">
        <v>154</v>
      </c>
      <c r="B138" s="77"/>
      <c r="C138" s="79"/>
      <c r="D138" s="121">
        <v>17724.560000000001</v>
      </c>
      <c r="E138" s="122">
        <f t="shared" si="6"/>
        <v>6.91</v>
      </c>
      <c r="F138" s="122">
        <f t="shared" si="7"/>
        <v>0.57999999999999996</v>
      </c>
      <c r="G138" s="46">
        <v>2563.8000000000002</v>
      </c>
      <c r="H138" s="46"/>
      <c r="I138" s="47"/>
    </row>
    <row r="139" spans="1:9" s="117" customFormat="1" ht="15" x14ac:dyDescent="0.2">
      <c r="A139" s="12" t="s">
        <v>155</v>
      </c>
      <c r="B139" s="77"/>
      <c r="C139" s="79"/>
      <c r="D139" s="121">
        <v>13976.46</v>
      </c>
      <c r="E139" s="122">
        <f t="shared" ref="E139" si="8">D139/G139</f>
        <v>5.45</v>
      </c>
      <c r="F139" s="122">
        <f t="shared" ref="F139" si="9">E139/12</f>
        <v>0.45</v>
      </c>
      <c r="G139" s="46">
        <v>2563.8000000000002</v>
      </c>
      <c r="H139" s="46"/>
      <c r="I139" s="47"/>
    </row>
    <row r="140" spans="1:9" s="117" customFormat="1" ht="19.5" customHeight="1" x14ac:dyDescent="0.2">
      <c r="A140" s="12" t="s">
        <v>144</v>
      </c>
      <c r="B140" s="77"/>
      <c r="C140" s="79"/>
      <c r="D140" s="136">
        <v>752611</v>
      </c>
      <c r="E140" s="122">
        <f t="shared" si="6"/>
        <v>293.55</v>
      </c>
      <c r="F140" s="122">
        <f t="shared" si="7"/>
        <v>24.46</v>
      </c>
      <c r="G140" s="46">
        <v>2563.8000000000002</v>
      </c>
      <c r="H140" s="46"/>
      <c r="I140" s="47"/>
    </row>
    <row r="141" spans="1:9" s="108" customFormat="1" ht="19.5" thickBot="1" x14ac:dyDescent="0.45">
      <c r="A141" s="105"/>
      <c r="B141" s="106"/>
      <c r="C141" s="107"/>
      <c r="D141" s="123"/>
      <c r="E141" s="123"/>
      <c r="F141" s="123"/>
      <c r="I141" s="109"/>
    </row>
    <row r="142" spans="1:9" s="118" customFormat="1" ht="20.25" thickBot="1" x14ac:dyDescent="0.45">
      <c r="A142" s="95" t="s">
        <v>66</v>
      </c>
      <c r="B142" s="110"/>
      <c r="C142" s="110"/>
      <c r="D142" s="124">
        <f>D126+D128</f>
        <v>2867714.33</v>
      </c>
      <c r="E142" s="124">
        <f>E126+E128</f>
        <v>718.83</v>
      </c>
      <c r="F142" s="124">
        <f>F126+F128</f>
        <v>59.9</v>
      </c>
      <c r="I142" s="119"/>
    </row>
    <row r="143" spans="1:9" s="108" customFormat="1" ht="19.5" x14ac:dyDescent="0.4">
      <c r="A143" s="111"/>
      <c r="B143" s="112"/>
      <c r="C143" s="112"/>
      <c r="D143" s="113"/>
      <c r="E143" s="113"/>
      <c r="F143" s="113"/>
      <c r="I143" s="109"/>
    </row>
    <row r="144" spans="1:9" s="108" customFormat="1" ht="19.5" x14ac:dyDescent="0.4">
      <c r="A144" s="111"/>
      <c r="B144" s="112"/>
      <c r="C144" s="112"/>
      <c r="D144" s="113"/>
      <c r="E144" s="113"/>
      <c r="F144" s="113"/>
      <c r="I144" s="109"/>
    </row>
    <row r="145" spans="1:9" s="108" customFormat="1" ht="19.5" x14ac:dyDescent="0.4">
      <c r="A145" s="111"/>
      <c r="B145" s="112"/>
      <c r="C145" s="112"/>
      <c r="D145" s="113"/>
      <c r="E145" s="113"/>
      <c r="F145" s="113"/>
      <c r="I145" s="109"/>
    </row>
    <row r="146" spans="1:9" s="100" customFormat="1" ht="19.5" x14ac:dyDescent="0.2">
      <c r="A146" s="114"/>
      <c r="B146" s="112"/>
      <c r="C146" s="113"/>
      <c r="D146" s="113"/>
      <c r="E146" s="113"/>
      <c r="F146" s="113"/>
      <c r="I146" s="101"/>
    </row>
    <row r="147" spans="1:9" s="103" customFormat="1" ht="14.25" x14ac:dyDescent="0.2">
      <c r="A147" s="203" t="s">
        <v>67</v>
      </c>
      <c r="B147" s="203"/>
      <c r="C147" s="203"/>
      <c r="D147" s="203"/>
      <c r="I147" s="104"/>
    </row>
    <row r="148" spans="1:9" s="103" customFormat="1" x14ac:dyDescent="0.2">
      <c r="I148" s="104"/>
    </row>
    <row r="149" spans="1:9" s="103" customFormat="1" x14ac:dyDescent="0.2">
      <c r="A149" s="102" t="s">
        <v>68</v>
      </c>
      <c r="I149" s="104"/>
    </row>
    <row r="150" spans="1:9" s="27" customFormat="1" x14ac:dyDescent="0.2">
      <c r="I150" s="28"/>
    </row>
    <row r="151" spans="1:9" s="27" customFormat="1" x14ac:dyDescent="0.2">
      <c r="I151" s="28"/>
    </row>
    <row r="152" spans="1:9" s="27" customFormat="1" x14ac:dyDescent="0.2">
      <c r="I152" s="28"/>
    </row>
    <row r="153" spans="1:9" s="27" customFormat="1" x14ac:dyDescent="0.2">
      <c r="I153" s="28"/>
    </row>
    <row r="154" spans="1:9" s="27" customFormat="1" x14ac:dyDescent="0.2">
      <c r="I154" s="28"/>
    </row>
    <row r="155" spans="1:9" s="27" customFormat="1" x14ac:dyDescent="0.2">
      <c r="I155" s="28"/>
    </row>
    <row r="156" spans="1:9" s="27" customFormat="1" x14ac:dyDescent="0.2">
      <c r="I156" s="28"/>
    </row>
    <row r="157" spans="1:9" s="27" customFormat="1" x14ac:dyDescent="0.2">
      <c r="I157" s="28"/>
    </row>
    <row r="158" spans="1:9" s="27" customFormat="1" x14ac:dyDescent="0.2">
      <c r="I158" s="28"/>
    </row>
    <row r="159" spans="1:9" s="27" customFormat="1" x14ac:dyDescent="0.2">
      <c r="I159" s="28"/>
    </row>
    <row r="160" spans="1:9" s="27" customFormat="1" x14ac:dyDescent="0.2">
      <c r="I160" s="28"/>
    </row>
    <row r="161" spans="9:9" s="27" customFormat="1" x14ac:dyDescent="0.2">
      <c r="I161" s="28"/>
    </row>
    <row r="162" spans="9:9" s="27" customFormat="1" x14ac:dyDescent="0.2">
      <c r="I162" s="28"/>
    </row>
    <row r="163" spans="9:9" s="27" customFormat="1" x14ac:dyDescent="0.2">
      <c r="I163" s="28"/>
    </row>
    <row r="164" spans="9:9" s="27" customFormat="1" x14ac:dyDescent="0.2">
      <c r="I164" s="28"/>
    </row>
    <row r="165" spans="9:9" s="27" customFormat="1" x14ac:dyDescent="0.2">
      <c r="I165" s="28"/>
    </row>
    <row r="166" spans="9:9" s="27" customFormat="1" x14ac:dyDescent="0.2">
      <c r="I166" s="28"/>
    </row>
    <row r="167" spans="9:9" s="27" customFormat="1" x14ac:dyDescent="0.2">
      <c r="I167" s="28"/>
    </row>
  </sheetData>
  <mergeCells count="12">
    <mergeCell ref="A10:F10"/>
    <mergeCell ref="A13:F13"/>
    <mergeCell ref="A147:D147"/>
    <mergeCell ref="G9:J9"/>
    <mergeCell ref="A7:F7"/>
    <mergeCell ref="A8:F8"/>
    <mergeCell ref="A9:F9"/>
    <mergeCell ref="A1:F1"/>
    <mergeCell ref="B2:F2"/>
    <mergeCell ref="B3:F3"/>
    <mergeCell ref="B5:F5"/>
    <mergeCell ref="A6:F6"/>
  </mergeCells>
  <printOptions horizontalCentered="1"/>
  <pageMargins left="0.2" right="0.2" top="0.19685039370078741" bottom="0.2" header="0.2" footer="0.2"/>
  <pageSetup paperSize="9" scale="62" orientation="portrait" r:id="rId1"/>
  <headerFooter alignWithMargins="0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55"/>
  <sheetViews>
    <sheetView topLeftCell="A111" zoomScale="90" zoomScaleNormal="90" workbookViewId="0">
      <selection activeCell="G147" sqref="G147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20.5703125" style="1" customWidth="1"/>
    <col min="5" max="5" width="15.7109375" style="1" customWidth="1"/>
    <col min="6" max="6" width="20.85546875" style="1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10" ht="16.5" customHeight="1" x14ac:dyDescent="0.2">
      <c r="A1" s="193" t="s">
        <v>142</v>
      </c>
      <c r="B1" s="194"/>
      <c r="C1" s="194"/>
      <c r="D1" s="194"/>
      <c r="E1" s="194"/>
      <c r="F1" s="194"/>
    </row>
    <row r="2" spans="1:10" ht="12.75" customHeight="1" x14ac:dyDescent="0.3">
      <c r="B2" s="195"/>
      <c r="C2" s="195"/>
      <c r="D2" s="195"/>
      <c r="E2" s="194"/>
      <c r="F2" s="194"/>
    </row>
    <row r="3" spans="1:10" ht="21" customHeight="1" x14ac:dyDescent="0.3">
      <c r="A3" s="3" t="s">
        <v>164</v>
      </c>
      <c r="B3" s="195" t="s">
        <v>0</v>
      </c>
      <c r="C3" s="195"/>
      <c r="D3" s="195"/>
      <c r="E3" s="194"/>
      <c r="F3" s="194"/>
    </row>
    <row r="4" spans="1:10" ht="21" customHeight="1" x14ac:dyDescent="0.3">
      <c r="A4" s="3"/>
      <c r="B4" s="145"/>
      <c r="C4" s="145"/>
      <c r="D4" s="145"/>
      <c r="E4" s="144"/>
      <c r="F4" s="144"/>
    </row>
    <row r="5" spans="1:10" ht="14.25" customHeight="1" x14ac:dyDescent="0.3">
      <c r="B5" s="195" t="s">
        <v>143</v>
      </c>
      <c r="C5" s="195"/>
      <c r="D5" s="195"/>
      <c r="E5" s="194"/>
      <c r="F5" s="194"/>
    </row>
    <row r="6" spans="1:10" ht="18" customHeight="1" x14ac:dyDescent="0.4">
      <c r="A6" s="196" t="s">
        <v>166</v>
      </c>
      <c r="B6" s="196"/>
      <c r="C6" s="196"/>
      <c r="D6" s="196"/>
      <c r="E6" s="196"/>
      <c r="F6" s="196"/>
    </row>
    <row r="7" spans="1:10" s="6" customFormat="1" ht="22.5" customHeight="1" x14ac:dyDescent="0.4">
      <c r="A7" s="205" t="s">
        <v>1</v>
      </c>
      <c r="B7" s="205"/>
      <c r="C7" s="205"/>
      <c r="D7" s="205"/>
      <c r="E7" s="206"/>
      <c r="F7" s="206"/>
      <c r="I7" s="7"/>
    </row>
    <row r="8" spans="1:10" s="8" customFormat="1" ht="18.75" customHeight="1" x14ac:dyDescent="0.4">
      <c r="A8" s="205" t="s">
        <v>139</v>
      </c>
      <c r="B8" s="205"/>
      <c r="C8" s="205"/>
      <c r="D8" s="205"/>
      <c r="E8" s="206"/>
      <c r="F8" s="206"/>
    </row>
    <row r="9" spans="1:10" s="40" customFormat="1" ht="17.25" customHeight="1" x14ac:dyDescent="0.2">
      <c r="A9" s="207" t="s">
        <v>2</v>
      </c>
      <c r="B9" s="207"/>
      <c r="C9" s="207"/>
      <c r="D9" s="207"/>
      <c r="E9" s="208"/>
      <c r="F9" s="208"/>
      <c r="G9" s="204"/>
      <c r="H9" s="204"/>
      <c r="I9" s="204"/>
      <c r="J9" s="204"/>
    </row>
    <row r="10" spans="1:10" s="41" customFormat="1" ht="30" customHeight="1" thickBot="1" x14ac:dyDescent="0.25">
      <c r="A10" s="197" t="s">
        <v>3</v>
      </c>
      <c r="B10" s="197"/>
      <c r="C10" s="197"/>
      <c r="D10" s="197"/>
      <c r="E10" s="198"/>
      <c r="F10" s="198"/>
    </row>
    <row r="11" spans="1:10" s="46" customFormat="1" ht="139.5" customHeight="1" thickBot="1" x14ac:dyDescent="0.25">
      <c r="A11" s="42" t="s">
        <v>4</v>
      </c>
      <c r="B11" s="43" t="s">
        <v>5</v>
      </c>
      <c r="C11" s="44" t="s">
        <v>131</v>
      </c>
      <c r="D11" s="44" t="s">
        <v>7</v>
      </c>
      <c r="E11" s="44" t="s">
        <v>6</v>
      </c>
      <c r="F11" s="45" t="s">
        <v>8</v>
      </c>
      <c r="I11" s="47"/>
    </row>
    <row r="12" spans="1:10" s="53" customFormat="1" x14ac:dyDescent="0.2">
      <c r="A12" s="48">
        <v>1</v>
      </c>
      <c r="B12" s="49">
        <v>2</v>
      </c>
      <c r="C12" s="50">
        <v>3</v>
      </c>
      <c r="D12" s="50">
        <v>4</v>
      </c>
      <c r="E12" s="51">
        <v>5</v>
      </c>
      <c r="F12" s="52">
        <v>6</v>
      </c>
      <c r="I12" s="54"/>
    </row>
    <row r="13" spans="1:10" s="53" customFormat="1" ht="49.5" customHeight="1" x14ac:dyDescent="0.2">
      <c r="A13" s="199" t="s">
        <v>9</v>
      </c>
      <c r="B13" s="200"/>
      <c r="C13" s="200"/>
      <c r="D13" s="200"/>
      <c r="E13" s="201"/>
      <c r="F13" s="202"/>
      <c r="I13" s="54"/>
    </row>
    <row r="14" spans="1:10" s="46" customFormat="1" ht="16.5" customHeight="1" x14ac:dyDescent="0.2">
      <c r="A14" s="55" t="s">
        <v>77</v>
      </c>
      <c r="B14" s="56" t="s">
        <v>10</v>
      </c>
      <c r="C14" s="16" t="s">
        <v>141</v>
      </c>
      <c r="D14" s="34">
        <f>E14*G14</f>
        <v>131905.07</v>
      </c>
      <c r="E14" s="11">
        <f>F14*12</f>
        <v>43.32</v>
      </c>
      <c r="F14" s="11">
        <f>F25+F31</f>
        <v>3.61</v>
      </c>
      <c r="G14" s="46">
        <v>3044.9</v>
      </c>
      <c r="H14" s="46">
        <v>1.07</v>
      </c>
      <c r="I14" s="47">
        <v>2.2400000000000002</v>
      </c>
    </row>
    <row r="15" spans="1:10" s="46" customFormat="1" ht="29.25" customHeight="1" x14ac:dyDescent="0.2">
      <c r="A15" s="59" t="s">
        <v>11</v>
      </c>
      <c r="B15" s="60" t="s">
        <v>12</v>
      </c>
      <c r="C15" s="61"/>
      <c r="D15" s="61"/>
      <c r="E15" s="62"/>
      <c r="F15" s="62"/>
      <c r="I15" s="47"/>
    </row>
    <row r="16" spans="1:10" s="46" customFormat="1" ht="24" customHeight="1" x14ac:dyDescent="0.2">
      <c r="A16" s="59" t="s">
        <v>13</v>
      </c>
      <c r="B16" s="60" t="s">
        <v>12</v>
      </c>
      <c r="C16" s="61"/>
      <c r="D16" s="61"/>
      <c r="E16" s="62"/>
      <c r="F16" s="62"/>
      <c r="I16" s="47"/>
    </row>
    <row r="17" spans="1:9" s="46" customFormat="1" ht="120" customHeight="1" x14ac:dyDescent="0.2">
      <c r="A17" s="59" t="s">
        <v>78</v>
      </c>
      <c r="B17" s="60" t="s">
        <v>27</v>
      </c>
      <c r="C17" s="61"/>
      <c r="D17" s="61"/>
      <c r="E17" s="62"/>
      <c r="F17" s="62"/>
      <c r="I17" s="47"/>
    </row>
    <row r="18" spans="1:9" s="46" customFormat="1" ht="15" x14ac:dyDescent="0.2">
      <c r="A18" s="59" t="s">
        <v>79</v>
      </c>
      <c r="B18" s="60" t="s">
        <v>12</v>
      </c>
      <c r="C18" s="61"/>
      <c r="D18" s="61"/>
      <c r="E18" s="62"/>
      <c r="F18" s="62"/>
      <c r="I18" s="47"/>
    </row>
    <row r="19" spans="1:9" s="46" customFormat="1" ht="15" x14ac:dyDescent="0.2">
      <c r="A19" s="59" t="s">
        <v>80</v>
      </c>
      <c r="B19" s="60" t="s">
        <v>12</v>
      </c>
      <c r="C19" s="61"/>
      <c r="D19" s="61"/>
      <c r="E19" s="62"/>
      <c r="F19" s="62"/>
      <c r="I19" s="47"/>
    </row>
    <row r="20" spans="1:9" s="46" customFormat="1" ht="25.5" x14ac:dyDescent="0.2">
      <c r="A20" s="59" t="s">
        <v>81</v>
      </c>
      <c r="B20" s="60" t="s">
        <v>18</v>
      </c>
      <c r="C20" s="61"/>
      <c r="D20" s="61"/>
      <c r="E20" s="62"/>
      <c r="F20" s="62"/>
      <c r="I20" s="47"/>
    </row>
    <row r="21" spans="1:9" s="46" customFormat="1" ht="15" x14ac:dyDescent="0.2">
      <c r="A21" s="59" t="s">
        <v>82</v>
      </c>
      <c r="B21" s="60" t="s">
        <v>21</v>
      </c>
      <c r="C21" s="61"/>
      <c r="D21" s="61"/>
      <c r="E21" s="62"/>
      <c r="F21" s="62"/>
      <c r="I21" s="47"/>
    </row>
    <row r="22" spans="1:9" s="46" customFormat="1" ht="15" x14ac:dyDescent="0.2">
      <c r="A22" s="36" t="s">
        <v>156</v>
      </c>
      <c r="B22" s="37" t="s">
        <v>12</v>
      </c>
      <c r="C22" s="61"/>
      <c r="D22" s="61"/>
      <c r="E22" s="62"/>
      <c r="F22" s="62"/>
      <c r="I22" s="47"/>
    </row>
    <row r="23" spans="1:9" s="46" customFormat="1" ht="15" x14ac:dyDescent="0.2">
      <c r="A23" s="36" t="s">
        <v>157</v>
      </c>
      <c r="B23" s="37" t="s">
        <v>12</v>
      </c>
      <c r="C23" s="61"/>
      <c r="D23" s="61"/>
      <c r="E23" s="62"/>
      <c r="F23" s="62"/>
      <c r="I23" s="47"/>
    </row>
    <row r="24" spans="1:9" s="46" customFormat="1" ht="15" x14ac:dyDescent="0.2">
      <c r="A24" s="59" t="s">
        <v>83</v>
      </c>
      <c r="B24" s="60" t="s">
        <v>26</v>
      </c>
      <c r="C24" s="61"/>
      <c r="D24" s="61"/>
      <c r="E24" s="62"/>
      <c r="F24" s="62"/>
      <c r="I24" s="47"/>
    </row>
    <row r="25" spans="1:9" s="46" customFormat="1" ht="15" x14ac:dyDescent="0.2">
      <c r="A25" s="55" t="s">
        <v>73</v>
      </c>
      <c r="B25" s="63"/>
      <c r="C25" s="61"/>
      <c r="D25" s="61"/>
      <c r="E25" s="62"/>
      <c r="F25" s="58">
        <v>3.61</v>
      </c>
      <c r="G25" s="46">
        <v>3044.9</v>
      </c>
      <c r="I25" s="47"/>
    </row>
    <row r="26" spans="1:9" s="46" customFormat="1" ht="15" x14ac:dyDescent="0.2">
      <c r="A26" s="64" t="s">
        <v>72</v>
      </c>
      <c r="B26" s="63" t="s">
        <v>12</v>
      </c>
      <c r="C26" s="61"/>
      <c r="D26" s="61"/>
      <c r="E26" s="62"/>
      <c r="F26" s="62">
        <v>0</v>
      </c>
      <c r="G26" s="46">
        <v>3044.9</v>
      </c>
      <c r="I26" s="47"/>
    </row>
    <row r="27" spans="1:9" s="46" customFormat="1" ht="15" x14ac:dyDescent="0.2">
      <c r="A27" s="12" t="s">
        <v>158</v>
      </c>
      <c r="B27" s="13" t="s">
        <v>10</v>
      </c>
      <c r="C27" s="61"/>
      <c r="D27" s="61">
        <v>0</v>
      </c>
      <c r="E27" s="62">
        <f>D27/G27</f>
        <v>0</v>
      </c>
      <c r="F27" s="62">
        <f>E27/12</f>
        <v>0</v>
      </c>
      <c r="G27" s="46">
        <v>3044.9</v>
      </c>
      <c r="I27" s="47"/>
    </row>
    <row r="28" spans="1:9" s="46" customFormat="1" ht="15" x14ac:dyDescent="0.2">
      <c r="A28" s="12" t="s">
        <v>159</v>
      </c>
      <c r="B28" s="13" t="s">
        <v>10</v>
      </c>
      <c r="C28" s="61"/>
      <c r="D28" s="61">
        <v>0</v>
      </c>
      <c r="E28" s="62">
        <f t="shared" ref="E28:E30" si="0">D28/G28</f>
        <v>0</v>
      </c>
      <c r="F28" s="62">
        <f t="shared" ref="F28:F30" si="1">E28/12</f>
        <v>0</v>
      </c>
      <c r="G28" s="46">
        <v>3044.9</v>
      </c>
      <c r="I28" s="47"/>
    </row>
    <row r="29" spans="1:9" s="46" customFormat="1" ht="15" x14ac:dyDescent="0.2">
      <c r="A29" s="12" t="s">
        <v>160</v>
      </c>
      <c r="B29" s="13" t="s">
        <v>10</v>
      </c>
      <c r="C29" s="61"/>
      <c r="D29" s="61">
        <v>0</v>
      </c>
      <c r="E29" s="62">
        <f t="shared" si="0"/>
        <v>0</v>
      </c>
      <c r="F29" s="62">
        <f t="shared" si="1"/>
        <v>0</v>
      </c>
      <c r="G29" s="46">
        <v>3044.9</v>
      </c>
      <c r="I29" s="47"/>
    </row>
    <row r="30" spans="1:9" s="46" customFormat="1" ht="15" x14ac:dyDescent="0.2">
      <c r="A30" s="12" t="s">
        <v>161</v>
      </c>
      <c r="B30" s="13" t="s">
        <v>10</v>
      </c>
      <c r="C30" s="61"/>
      <c r="D30" s="61">
        <v>0</v>
      </c>
      <c r="E30" s="62">
        <f t="shared" si="0"/>
        <v>0</v>
      </c>
      <c r="F30" s="62">
        <f t="shared" si="1"/>
        <v>0</v>
      </c>
      <c r="G30" s="46">
        <v>3044.9</v>
      </c>
      <c r="I30" s="47"/>
    </row>
    <row r="31" spans="1:9" s="46" customFormat="1" ht="15" x14ac:dyDescent="0.2">
      <c r="A31" s="55" t="s">
        <v>73</v>
      </c>
      <c r="B31" s="63"/>
      <c r="C31" s="61"/>
      <c r="D31" s="61"/>
      <c r="E31" s="62"/>
      <c r="F31" s="58">
        <f>F26+F27+F28+F29+F30</f>
        <v>0</v>
      </c>
      <c r="I31" s="47"/>
    </row>
    <row r="32" spans="1:9" s="46" customFormat="1" ht="30" x14ac:dyDescent="0.2">
      <c r="A32" s="55" t="s">
        <v>14</v>
      </c>
      <c r="B32" s="65" t="s">
        <v>15</v>
      </c>
      <c r="C32" s="57" t="s">
        <v>132</v>
      </c>
      <c r="D32" s="57">
        <f>E32*G32</f>
        <v>16613.419999999998</v>
      </c>
      <c r="E32" s="58">
        <f>12*F32</f>
        <v>6.48</v>
      </c>
      <c r="F32" s="11">
        <v>0.54</v>
      </c>
      <c r="G32" s="46">
        <v>2563.8000000000002</v>
      </c>
      <c r="H32" s="46">
        <v>1.07</v>
      </c>
      <c r="I32" s="47">
        <v>1.27</v>
      </c>
    </row>
    <row r="33" spans="1:9" s="46" customFormat="1" ht="15" x14ac:dyDescent="0.2">
      <c r="A33" s="59" t="s">
        <v>84</v>
      </c>
      <c r="B33" s="60" t="s">
        <v>15</v>
      </c>
      <c r="C33" s="57"/>
      <c r="D33" s="57"/>
      <c r="E33" s="58"/>
      <c r="F33" s="58"/>
      <c r="I33" s="47"/>
    </row>
    <row r="34" spans="1:9" s="46" customFormat="1" ht="15" x14ac:dyDescent="0.2">
      <c r="A34" s="59" t="s">
        <v>85</v>
      </c>
      <c r="B34" s="60" t="s">
        <v>86</v>
      </c>
      <c r="C34" s="57"/>
      <c r="D34" s="57"/>
      <c r="E34" s="58"/>
      <c r="F34" s="58"/>
      <c r="I34" s="47"/>
    </row>
    <row r="35" spans="1:9" s="46" customFormat="1" ht="15" x14ac:dyDescent="0.2">
      <c r="A35" s="59" t="s">
        <v>87</v>
      </c>
      <c r="B35" s="60" t="s">
        <v>88</v>
      </c>
      <c r="C35" s="57"/>
      <c r="D35" s="57"/>
      <c r="E35" s="58"/>
      <c r="F35" s="58"/>
      <c r="I35" s="47"/>
    </row>
    <row r="36" spans="1:9" s="46" customFormat="1" ht="15" x14ac:dyDescent="0.2">
      <c r="A36" s="59" t="s">
        <v>16</v>
      </c>
      <c r="B36" s="60" t="s">
        <v>15</v>
      </c>
      <c r="C36" s="57"/>
      <c r="D36" s="57"/>
      <c r="E36" s="58"/>
      <c r="F36" s="58"/>
      <c r="I36" s="47"/>
    </row>
    <row r="37" spans="1:9" s="46" customFormat="1" ht="25.5" x14ac:dyDescent="0.2">
      <c r="A37" s="59" t="s">
        <v>17</v>
      </c>
      <c r="B37" s="60" t="s">
        <v>18</v>
      </c>
      <c r="C37" s="57"/>
      <c r="D37" s="57"/>
      <c r="E37" s="58"/>
      <c r="F37" s="58"/>
      <c r="I37" s="47"/>
    </row>
    <row r="38" spans="1:9" s="46" customFormat="1" ht="15" x14ac:dyDescent="0.2">
      <c r="A38" s="59" t="s">
        <v>89</v>
      </c>
      <c r="B38" s="60" t="s">
        <v>15</v>
      </c>
      <c r="C38" s="57"/>
      <c r="D38" s="57"/>
      <c r="E38" s="58"/>
      <c r="F38" s="58"/>
      <c r="I38" s="47"/>
    </row>
    <row r="39" spans="1:9" s="46" customFormat="1" ht="15" x14ac:dyDescent="0.2">
      <c r="A39" s="59" t="s">
        <v>90</v>
      </c>
      <c r="B39" s="60" t="s">
        <v>15</v>
      </c>
      <c r="C39" s="57"/>
      <c r="D39" s="57"/>
      <c r="E39" s="58"/>
      <c r="F39" s="58"/>
      <c r="I39" s="47"/>
    </row>
    <row r="40" spans="1:9" s="46" customFormat="1" ht="25.5" x14ac:dyDescent="0.2">
      <c r="A40" s="59" t="s">
        <v>91</v>
      </c>
      <c r="B40" s="60" t="s">
        <v>19</v>
      </c>
      <c r="C40" s="57"/>
      <c r="D40" s="57"/>
      <c r="E40" s="58"/>
      <c r="F40" s="58"/>
      <c r="I40" s="47"/>
    </row>
    <row r="41" spans="1:9" s="46" customFormat="1" ht="25.5" x14ac:dyDescent="0.2">
      <c r="A41" s="59" t="s">
        <v>92</v>
      </c>
      <c r="B41" s="60" t="s">
        <v>18</v>
      </c>
      <c r="C41" s="57"/>
      <c r="D41" s="57"/>
      <c r="E41" s="58"/>
      <c r="F41" s="58"/>
      <c r="I41" s="47"/>
    </row>
    <row r="42" spans="1:9" s="46" customFormat="1" ht="25.5" x14ac:dyDescent="0.2">
      <c r="A42" s="59" t="s">
        <v>93</v>
      </c>
      <c r="B42" s="60" t="s">
        <v>15</v>
      </c>
      <c r="C42" s="57"/>
      <c r="D42" s="57"/>
      <c r="E42" s="58"/>
      <c r="F42" s="58"/>
      <c r="I42" s="47"/>
    </row>
    <row r="43" spans="1:9" s="67" customFormat="1" ht="21" customHeight="1" x14ac:dyDescent="0.2">
      <c r="A43" s="66" t="s">
        <v>20</v>
      </c>
      <c r="B43" s="56" t="s">
        <v>21</v>
      </c>
      <c r="C43" s="34"/>
      <c r="D43" s="34">
        <f>E43*G43</f>
        <v>32884.92</v>
      </c>
      <c r="E43" s="11">
        <f>F43*12</f>
        <v>10.8</v>
      </c>
      <c r="F43" s="11">
        <v>0.9</v>
      </c>
      <c r="G43" s="46">
        <v>3044.9</v>
      </c>
      <c r="H43" s="46">
        <v>1.07</v>
      </c>
      <c r="I43" s="47">
        <v>0.6</v>
      </c>
    </row>
    <row r="44" spans="1:9" s="46" customFormat="1" ht="15" x14ac:dyDescent="0.2">
      <c r="A44" s="66" t="s">
        <v>22</v>
      </c>
      <c r="B44" s="56" t="s">
        <v>23</v>
      </c>
      <c r="C44" s="34"/>
      <c r="D44" s="34">
        <f>E44*G44</f>
        <v>107058.68</v>
      </c>
      <c r="E44" s="11">
        <f>F44*12</f>
        <v>35.159999999999997</v>
      </c>
      <c r="F44" s="11">
        <v>2.93</v>
      </c>
      <c r="G44" s="46">
        <v>3044.9</v>
      </c>
      <c r="H44" s="46">
        <v>1.07</v>
      </c>
      <c r="I44" s="47">
        <v>1.94</v>
      </c>
    </row>
    <row r="45" spans="1:9" s="46" customFormat="1" ht="15" x14ac:dyDescent="0.2">
      <c r="A45" s="66" t="s">
        <v>136</v>
      </c>
      <c r="B45" s="56" t="s">
        <v>15</v>
      </c>
      <c r="C45" s="34" t="s">
        <v>133</v>
      </c>
      <c r="D45" s="34">
        <f>E45*G45</f>
        <v>55993.39</v>
      </c>
      <c r="E45" s="11">
        <f>F45*12</f>
        <v>21.84</v>
      </c>
      <c r="F45" s="11">
        <v>1.82</v>
      </c>
      <c r="G45" s="46">
        <v>2563.8000000000002</v>
      </c>
      <c r="H45" s="46">
        <v>1.07</v>
      </c>
      <c r="I45" s="47">
        <v>1.21</v>
      </c>
    </row>
    <row r="46" spans="1:9" s="46" customFormat="1" ht="45" x14ac:dyDescent="0.2">
      <c r="A46" s="66" t="s">
        <v>25</v>
      </c>
      <c r="B46" s="56" t="s">
        <v>184</v>
      </c>
      <c r="C46" s="34" t="s">
        <v>133</v>
      </c>
      <c r="D46" s="34">
        <f>3407.5*1*1.105*1.1*1.086</f>
        <v>4498.01</v>
      </c>
      <c r="E46" s="11">
        <f>D46/G46</f>
        <v>1.75</v>
      </c>
      <c r="F46" s="11">
        <f>E46/12</f>
        <v>0.15</v>
      </c>
      <c r="G46" s="46">
        <v>2563.8000000000002</v>
      </c>
      <c r="I46" s="47"/>
    </row>
    <row r="47" spans="1:9" s="46" customFormat="1" ht="20.25" customHeight="1" x14ac:dyDescent="0.2">
      <c r="A47" s="66" t="s">
        <v>94</v>
      </c>
      <c r="B47" s="56" t="s">
        <v>15</v>
      </c>
      <c r="C47" s="34" t="s">
        <v>171</v>
      </c>
      <c r="D47" s="34">
        <f>E47*G47</f>
        <v>65223.07</v>
      </c>
      <c r="E47" s="11">
        <f>F47*12</f>
        <v>25.44</v>
      </c>
      <c r="F47" s="11">
        <v>2.12</v>
      </c>
      <c r="G47" s="46">
        <v>2563.8000000000002</v>
      </c>
      <c r="H47" s="46">
        <v>1.07</v>
      </c>
      <c r="I47" s="47">
        <v>1.4</v>
      </c>
    </row>
    <row r="48" spans="1:9" s="46" customFormat="1" ht="15" x14ac:dyDescent="0.2">
      <c r="A48" s="59" t="s">
        <v>95</v>
      </c>
      <c r="B48" s="60" t="s">
        <v>27</v>
      </c>
      <c r="C48" s="57"/>
      <c r="D48" s="57"/>
      <c r="E48" s="58"/>
      <c r="F48" s="58"/>
      <c r="H48" s="46">
        <v>1.07</v>
      </c>
      <c r="I48" s="47">
        <v>0</v>
      </c>
    </row>
    <row r="49" spans="1:9" s="46" customFormat="1" ht="15" x14ac:dyDescent="0.2">
      <c r="A49" s="59" t="s">
        <v>96</v>
      </c>
      <c r="B49" s="60" t="s">
        <v>26</v>
      </c>
      <c r="C49" s="57"/>
      <c r="D49" s="57"/>
      <c r="E49" s="58"/>
      <c r="F49" s="58"/>
      <c r="H49" s="46">
        <v>1.07</v>
      </c>
      <c r="I49" s="47">
        <v>0</v>
      </c>
    </row>
    <row r="50" spans="1:9" s="46" customFormat="1" ht="15" x14ac:dyDescent="0.2">
      <c r="A50" s="59" t="s">
        <v>97</v>
      </c>
      <c r="B50" s="60" t="s">
        <v>24</v>
      </c>
      <c r="C50" s="57"/>
      <c r="D50" s="57"/>
      <c r="E50" s="58"/>
      <c r="F50" s="58"/>
      <c r="H50" s="46">
        <v>1.07</v>
      </c>
      <c r="I50" s="47">
        <v>0</v>
      </c>
    </row>
    <row r="51" spans="1:9" s="46" customFormat="1" ht="15" x14ac:dyDescent="0.2">
      <c r="A51" s="59" t="s">
        <v>98</v>
      </c>
      <c r="B51" s="60" t="s">
        <v>99</v>
      </c>
      <c r="C51" s="57"/>
      <c r="D51" s="57"/>
      <c r="E51" s="58"/>
      <c r="F51" s="58"/>
      <c r="H51" s="46">
        <v>1.07</v>
      </c>
      <c r="I51" s="47">
        <v>0</v>
      </c>
    </row>
    <row r="52" spans="1:9" s="46" customFormat="1" ht="15" x14ac:dyDescent="0.2">
      <c r="A52" s="59" t="s">
        <v>100</v>
      </c>
      <c r="B52" s="60" t="s">
        <v>24</v>
      </c>
      <c r="C52" s="57"/>
      <c r="D52" s="57"/>
      <c r="E52" s="58"/>
      <c r="F52" s="58"/>
      <c r="I52" s="47"/>
    </row>
    <row r="53" spans="1:9" s="46" customFormat="1" ht="28.5" x14ac:dyDescent="0.2">
      <c r="A53" s="66" t="s">
        <v>28</v>
      </c>
      <c r="B53" s="68" t="s">
        <v>29</v>
      </c>
      <c r="C53" s="34" t="s">
        <v>134</v>
      </c>
      <c r="D53" s="34">
        <f>(127677.24*1.086)+1000</f>
        <v>139657.48000000001</v>
      </c>
      <c r="E53" s="11">
        <f>D53/G53</f>
        <v>54.47</v>
      </c>
      <c r="F53" s="11">
        <f>E53/12</f>
        <v>4.54</v>
      </c>
      <c r="G53" s="46">
        <v>2563.8000000000002</v>
      </c>
      <c r="H53" s="46">
        <v>1.07</v>
      </c>
      <c r="I53" s="47">
        <v>2.99</v>
      </c>
    </row>
    <row r="54" spans="1:9" s="46" customFormat="1" ht="25.5" x14ac:dyDescent="0.2">
      <c r="A54" s="69" t="s">
        <v>101</v>
      </c>
      <c r="B54" s="70" t="s">
        <v>29</v>
      </c>
      <c r="C54" s="57"/>
      <c r="D54" s="57"/>
      <c r="E54" s="58"/>
      <c r="F54" s="58"/>
      <c r="I54" s="47"/>
    </row>
    <row r="55" spans="1:9" s="46" customFormat="1" ht="15" x14ac:dyDescent="0.2">
      <c r="A55" s="69" t="s">
        <v>102</v>
      </c>
      <c r="B55" s="70" t="s">
        <v>103</v>
      </c>
      <c r="C55" s="57"/>
      <c r="D55" s="57"/>
      <c r="E55" s="58"/>
      <c r="F55" s="58"/>
      <c r="I55" s="47"/>
    </row>
    <row r="56" spans="1:9" s="46" customFormat="1" ht="15" x14ac:dyDescent="0.2">
      <c r="A56" s="69" t="s">
        <v>104</v>
      </c>
      <c r="B56" s="70" t="s">
        <v>12</v>
      </c>
      <c r="C56" s="57"/>
      <c r="D56" s="57"/>
      <c r="E56" s="58"/>
      <c r="F56" s="58"/>
      <c r="I56" s="47"/>
    </row>
    <row r="57" spans="1:9" s="53" customFormat="1" ht="25.5" x14ac:dyDescent="0.2">
      <c r="A57" s="69" t="s">
        <v>105</v>
      </c>
      <c r="B57" s="70" t="s">
        <v>26</v>
      </c>
      <c r="C57" s="57"/>
      <c r="D57" s="57"/>
      <c r="E57" s="58"/>
      <c r="F57" s="58"/>
      <c r="G57" s="46"/>
      <c r="H57" s="46"/>
      <c r="I57" s="47"/>
    </row>
    <row r="58" spans="1:9" s="53" customFormat="1" ht="23.25" customHeight="1" x14ac:dyDescent="0.2">
      <c r="A58" s="69" t="s">
        <v>165</v>
      </c>
      <c r="B58" s="70" t="s">
        <v>26</v>
      </c>
      <c r="C58" s="61" t="s">
        <v>134</v>
      </c>
      <c r="D58" s="61"/>
      <c r="E58" s="62"/>
      <c r="F58" s="62"/>
      <c r="G58" s="46">
        <v>2563.8000000000002</v>
      </c>
      <c r="H58" s="46"/>
      <c r="I58" s="47"/>
    </row>
    <row r="59" spans="1:9" s="53" customFormat="1" ht="30.75" customHeight="1" x14ac:dyDescent="0.2">
      <c r="A59" s="66" t="s">
        <v>106</v>
      </c>
      <c r="B59" s="56" t="s">
        <v>10</v>
      </c>
      <c r="C59" s="34" t="s">
        <v>135</v>
      </c>
      <c r="D59" s="125">
        <v>2439.9899999999998</v>
      </c>
      <c r="E59" s="11">
        <f>D59/G59</f>
        <v>0.8</v>
      </c>
      <c r="F59" s="11">
        <f t="shared" ref="F59:F61" si="2">E59/12</f>
        <v>7.0000000000000007E-2</v>
      </c>
      <c r="G59" s="46">
        <v>3044.9</v>
      </c>
      <c r="H59" s="46">
        <v>1.07</v>
      </c>
      <c r="I59" s="47">
        <v>0.04</v>
      </c>
    </row>
    <row r="60" spans="1:9" s="53" customFormat="1" ht="30" x14ac:dyDescent="0.2">
      <c r="A60" s="66" t="s">
        <v>107</v>
      </c>
      <c r="B60" s="56" t="s">
        <v>10</v>
      </c>
      <c r="C60" s="34" t="s">
        <v>135</v>
      </c>
      <c r="D60" s="125">
        <v>15405.72</v>
      </c>
      <c r="E60" s="11">
        <f>D60/G60</f>
        <v>5.0599999999999996</v>
      </c>
      <c r="F60" s="11">
        <f t="shared" si="2"/>
        <v>0.42</v>
      </c>
      <c r="G60" s="46">
        <v>3044.9</v>
      </c>
      <c r="H60" s="46">
        <v>1.07</v>
      </c>
      <c r="I60" s="47">
        <v>0</v>
      </c>
    </row>
    <row r="61" spans="1:9" s="53" customFormat="1" ht="22.5" customHeight="1" x14ac:dyDescent="0.2">
      <c r="A61" s="66" t="s">
        <v>167</v>
      </c>
      <c r="B61" s="56" t="s">
        <v>48</v>
      </c>
      <c r="C61" s="34" t="s">
        <v>135</v>
      </c>
      <c r="D61" s="125">
        <v>15405.68</v>
      </c>
      <c r="E61" s="11">
        <f>D61/G61</f>
        <v>5.0599999999999996</v>
      </c>
      <c r="F61" s="11">
        <f t="shared" si="2"/>
        <v>0.42</v>
      </c>
      <c r="G61" s="46">
        <v>3044.9</v>
      </c>
      <c r="H61" s="46"/>
      <c r="I61" s="47"/>
    </row>
    <row r="62" spans="1:9" s="53" customFormat="1" ht="30" x14ac:dyDescent="0.2">
      <c r="A62" s="66" t="s">
        <v>30</v>
      </c>
      <c r="B62" s="56"/>
      <c r="C62" s="57" t="s">
        <v>172</v>
      </c>
      <c r="D62" s="34">
        <f>E62*G62</f>
        <v>6768.43</v>
      </c>
      <c r="E62" s="11">
        <f>12*F62</f>
        <v>2.64</v>
      </c>
      <c r="F62" s="11">
        <v>0.22</v>
      </c>
      <c r="G62" s="46">
        <v>2563.8000000000002</v>
      </c>
      <c r="H62" s="46"/>
      <c r="I62" s="47"/>
    </row>
    <row r="63" spans="1:9" s="53" customFormat="1" ht="33.75" customHeight="1" x14ac:dyDescent="0.2">
      <c r="A63" s="69" t="s">
        <v>108</v>
      </c>
      <c r="B63" s="71" t="s">
        <v>71</v>
      </c>
      <c r="C63" s="57"/>
      <c r="D63" s="57"/>
      <c r="E63" s="58"/>
      <c r="F63" s="58"/>
      <c r="G63" s="46"/>
      <c r="H63" s="46"/>
      <c r="I63" s="47"/>
    </row>
    <row r="64" spans="1:9" s="53" customFormat="1" ht="24" customHeight="1" x14ac:dyDescent="0.2">
      <c r="A64" s="69" t="s">
        <v>109</v>
      </c>
      <c r="B64" s="71" t="s">
        <v>71</v>
      </c>
      <c r="C64" s="57"/>
      <c r="D64" s="57"/>
      <c r="E64" s="58"/>
      <c r="F64" s="58"/>
      <c r="G64" s="46"/>
      <c r="H64" s="46"/>
      <c r="I64" s="47"/>
    </row>
    <row r="65" spans="1:9" s="53" customFormat="1" ht="15" x14ac:dyDescent="0.2">
      <c r="A65" s="69" t="s">
        <v>110</v>
      </c>
      <c r="B65" s="71" t="s">
        <v>12</v>
      </c>
      <c r="C65" s="57"/>
      <c r="D65" s="57"/>
      <c r="E65" s="58"/>
      <c r="F65" s="58"/>
      <c r="G65" s="46"/>
      <c r="H65" s="46"/>
      <c r="I65" s="47"/>
    </row>
    <row r="66" spans="1:9" s="53" customFormat="1" ht="15" x14ac:dyDescent="0.2">
      <c r="A66" s="69" t="s">
        <v>111</v>
      </c>
      <c r="B66" s="71" t="s">
        <v>71</v>
      </c>
      <c r="C66" s="57"/>
      <c r="D66" s="57"/>
      <c r="E66" s="58"/>
      <c r="F66" s="58"/>
      <c r="G66" s="46"/>
      <c r="H66" s="46"/>
      <c r="I66" s="47"/>
    </row>
    <row r="67" spans="1:9" s="53" customFormat="1" ht="25.5" x14ac:dyDescent="0.2">
      <c r="A67" s="69" t="s">
        <v>112</v>
      </c>
      <c r="B67" s="71" t="s">
        <v>71</v>
      </c>
      <c r="C67" s="57"/>
      <c r="D67" s="57"/>
      <c r="E67" s="58"/>
      <c r="F67" s="58"/>
      <c r="G67" s="46"/>
      <c r="H67" s="46"/>
      <c r="I67" s="47"/>
    </row>
    <row r="68" spans="1:9" s="53" customFormat="1" ht="15" x14ac:dyDescent="0.2">
      <c r="A68" s="69" t="s">
        <v>113</v>
      </c>
      <c r="B68" s="71" t="s">
        <v>71</v>
      </c>
      <c r="C68" s="57"/>
      <c r="D68" s="57"/>
      <c r="E68" s="58"/>
      <c r="F68" s="58"/>
      <c r="G68" s="46"/>
      <c r="H68" s="46"/>
      <c r="I68" s="47"/>
    </row>
    <row r="69" spans="1:9" s="53" customFormat="1" ht="25.5" x14ac:dyDescent="0.2">
      <c r="A69" s="69" t="s">
        <v>114</v>
      </c>
      <c r="B69" s="71" t="s">
        <v>71</v>
      </c>
      <c r="C69" s="57"/>
      <c r="D69" s="57"/>
      <c r="E69" s="58"/>
      <c r="F69" s="58"/>
      <c r="G69" s="46"/>
      <c r="H69" s="46"/>
      <c r="I69" s="47"/>
    </row>
    <row r="70" spans="1:9" s="53" customFormat="1" ht="15" x14ac:dyDescent="0.2">
      <c r="A70" s="69" t="s">
        <v>115</v>
      </c>
      <c r="B70" s="71" t="s">
        <v>71</v>
      </c>
      <c r="C70" s="57"/>
      <c r="D70" s="57"/>
      <c r="E70" s="58"/>
      <c r="F70" s="58"/>
      <c r="G70" s="46"/>
      <c r="H70" s="46"/>
      <c r="I70" s="47"/>
    </row>
    <row r="71" spans="1:9" s="53" customFormat="1" ht="15" x14ac:dyDescent="0.2">
      <c r="A71" s="69" t="s">
        <v>116</v>
      </c>
      <c r="B71" s="71" t="s">
        <v>71</v>
      </c>
      <c r="C71" s="57"/>
      <c r="D71" s="57"/>
      <c r="E71" s="58"/>
      <c r="F71" s="58"/>
      <c r="G71" s="46"/>
      <c r="H71" s="46"/>
      <c r="I71" s="47"/>
    </row>
    <row r="72" spans="1:9" s="53" customFormat="1" ht="30" x14ac:dyDescent="0.2">
      <c r="A72" s="127" t="s">
        <v>162</v>
      </c>
      <c r="B72" s="128"/>
      <c r="C72" s="125"/>
      <c r="D72" s="125">
        <v>41280</v>
      </c>
      <c r="E72" s="126">
        <f>D72/G72</f>
        <v>16.100000000000001</v>
      </c>
      <c r="F72" s="126">
        <f>E72/12</f>
        <v>1.34</v>
      </c>
      <c r="G72" s="46">
        <v>2563.8000000000002</v>
      </c>
      <c r="H72" s="46"/>
      <c r="I72" s="47"/>
    </row>
    <row r="73" spans="1:9" s="46" customFormat="1" ht="15" x14ac:dyDescent="0.2">
      <c r="A73" s="66" t="s">
        <v>31</v>
      </c>
      <c r="B73" s="56" t="s">
        <v>32</v>
      </c>
      <c r="C73" s="34" t="s">
        <v>173</v>
      </c>
      <c r="D73" s="34">
        <f>E73*G73</f>
        <v>2923.1</v>
      </c>
      <c r="E73" s="11">
        <f>F73*12</f>
        <v>0.96</v>
      </c>
      <c r="F73" s="11">
        <v>0.08</v>
      </c>
      <c r="G73" s="46">
        <v>3044.9</v>
      </c>
      <c r="H73" s="46">
        <v>1.07</v>
      </c>
      <c r="I73" s="47">
        <v>0.03</v>
      </c>
    </row>
    <row r="74" spans="1:9" s="46" customFormat="1" ht="15" x14ac:dyDescent="0.2">
      <c r="A74" s="66" t="s">
        <v>33</v>
      </c>
      <c r="B74" s="72" t="s">
        <v>34</v>
      </c>
      <c r="C74" s="34" t="s">
        <v>173</v>
      </c>
      <c r="D74" s="34">
        <f>E74*G74</f>
        <v>1826.94</v>
      </c>
      <c r="E74" s="11">
        <f>12*F74</f>
        <v>0.6</v>
      </c>
      <c r="F74" s="11">
        <v>0.05</v>
      </c>
      <c r="G74" s="46">
        <v>3044.9</v>
      </c>
      <c r="H74" s="46">
        <v>1.07</v>
      </c>
      <c r="I74" s="47">
        <v>0.02</v>
      </c>
    </row>
    <row r="75" spans="1:9" s="67" customFormat="1" ht="30" x14ac:dyDescent="0.2">
      <c r="A75" s="66" t="s">
        <v>35</v>
      </c>
      <c r="B75" s="56"/>
      <c r="C75" s="34" t="s">
        <v>140</v>
      </c>
      <c r="D75" s="34">
        <v>3535</v>
      </c>
      <c r="E75" s="11">
        <f>D75/G75</f>
        <v>1.1599999999999999</v>
      </c>
      <c r="F75" s="11">
        <f>E75/12</f>
        <v>0.1</v>
      </c>
      <c r="G75" s="46">
        <v>3044.9</v>
      </c>
      <c r="H75" s="46">
        <v>1.07</v>
      </c>
      <c r="I75" s="47">
        <v>0.03</v>
      </c>
    </row>
    <row r="76" spans="1:9" s="67" customFormat="1" ht="22.5" customHeight="1" x14ac:dyDescent="0.2">
      <c r="A76" s="66" t="s">
        <v>36</v>
      </c>
      <c r="B76" s="56"/>
      <c r="C76" s="58" t="s">
        <v>174</v>
      </c>
      <c r="D76" s="58">
        <f>D77+D78+D79+D80+D81+D82+D83+D84+D85+D88+D86+D87</f>
        <v>26036.720000000001</v>
      </c>
      <c r="E76" s="58"/>
      <c r="F76" s="58">
        <f>E76/12</f>
        <v>0</v>
      </c>
      <c r="G76" s="46">
        <v>3044.9</v>
      </c>
      <c r="H76" s="46">
        <v>1.07</v>
      </c>
      <c r="I76" s="47">
        <v>0.71</v>
      </c>
    </row>
    <row r="77" spans="1:9" s="53" customFormat="1" ht="15" x14ac:dyDescent="0.2">
      <c r="A77" s="73" t="s">
        <v>37</v>
      </c>
      <c r="B77" s="74" t="s">
        <v>26</v>
      </c>
      <c r="C77" s="75"/>
      <c r="D77" s="143">
        <v>389.23</v>
      </c>
      <c r="E77" s="76"/>
      <c r="F77" s="76"/>
      <c r="G77" s="46">
        <v>3044.9</v>
      </c>
      <c r="H77" s="46">
        <v>1.07</v>
      </c>
      <c r="I77" s="47">
        <v>0.01</v>
      </c>
    </row>
    <row r="78" spans="1:9" s="53" customFormat="1" ht="15" x14ac:dyDescent="0.2">
      <c r="A78" s="73" t="s">
        <v>38</v>
      </c>
      <c r="B78" s="74" t="s">
        <v>27</v>
      </c>
      <c r="C78" s="75"/>
      <c r="D78" s="143">
        <v>1097.78</v>
      </c>
      <c r="E78" s="76"/>
      <c r="F78" s="76"/>
      <c r="G78" s="46">
        <v>3044.9</v>
      </c>
      <c r="H78" s="46">
        <v>1.07</v>
      </c>
      <c r="I78" s="47">
        <v>0.01</v>
      </c>
    </row>
    <row r="79" spans="1:9" s="53" customFormat="1" ht="15" x14ac:dyDescent="0.2">
      <c r="A79" s="73" t="s">
        <v>69</v>
      </c>
      <c r="B79" s="77" t="s">
        <v>26</v>
      </c>
      <c r="C79" s="75"/>
      <c r="D79" s="143">
        <v>1956.15</v>
      </c>
      <c r="E79" s="76"/>
      <c r="F79" s="76"/>
      <c r="G79" s="46">
        <v>3044.9</v>
      </c>
      <c r="H79" s="46"/>
      <c r="I79" s="47"/>
    </row>
    <row r="80" spans="1:9" s="53" customFormat="1" ht="15" x14ac:dyDescent="0.2">
      <c r="A80" s="78" t="s">
        <v>119</v>
      </c>
      <c r="B80" s="77" t="s">
        <v>48</v>
      </c>
      <c r="C80" s="76"/>
      <c r="D80" s="76">
        <v>0</v>
      </c>
      <c r="E80" s="76"/>
      <c r="F80" s="76"/>
      <c r="G80" s="46">
        <v>3044.9</v>
      </c>
      <c r="H80" s="46">
        <v>1.07</v>
      </c>
      <c r="I80" s="47">
        <v>0.27</v>
      </c>
    </row>
    <row r="81" spans="1:9" s="53" customFormat="1" ht="15" x14ac:dyDescent="0.2">
      <c r="A81" s="73" t="s">
        <v>39</v>
      </c>
      <c r="B81" s="74" t="s">
        <v>26</v>
      </c>
      <c r="C81" s="75"/>
      <c r="D81" s="143">
        <v>2092</v>
      </c>
      <c r="E81" s="76"/>
      <c r="F81" s="76"/>
      <c r="G81" s="46">
        <v>3044.9</v>
      </c>
      <c r="H81" s="46">
        <v>1.07</v>
      </c>
      <c r="I81" s="47">
        <v>0.02</v>
      </c>
    </row>
    <row r="82" spans="1:9" s="53" customFormat="1" ht="15" x14ac:dyDescent="0.2">
      <c r="A82" s="73" t="s">
        <v>40</v>
      </c>
      <c r="B82" s="74" t="s">
        <v>26</v>
      </c>
      <c r="C82" s="75"/>
      <c r="D82" s="143">
        <v>6995.08</v>
      </c>
      <c r="E82" s="76"/>
      <c r="F82" s="76"/>
      <c r="G82" s="46">
        <v>3044.9</v>
      </c>
      <c r="H82" s="46">
        <v>1.07</v>
      </c>
      <c r="I82" s="47">
        <v>0.1</v>
      </c>
    </row>
    <row r="83" spans="1:9" s="53" customFormat="1" ht="15" x14ac:dyDescent="0.2">
      <c r="A83" s="73" t="s">
        <v>70</v>
      </c>
      <c r="B83" s="74" t="s">
        <v>26</v>
      </c>
      <c r="C83" s="75"/>
      <c r="D83" s="143">
        <v>1097.78</v>
      </c>
      <c r="E83" s="76"/>
      <c r="F83" s="76"/>
      <c r="G83" s="46">
        <v>3044.9</v>
      </c>
      <c r="H83" s="46">
        <v>1.07</v>
      </c>
      <c r="I83" s="47">
        <v>0.02</v>
      </c>
    </row>
    <row r="84" spans="1:9" s="53" customFormat="1" ht="15" x14ac:dyDescent="0.2">
      <c r="A84" s="73" t="s">
        <v>41</v>
      </c>
      <c r="B84" s="74" t="s">
        <v>26</v>
      </c>
      <c r="C84" s="75"/>
      <c r="D84" s="143">
        <v>1045.98</v>
      </c>
      <c r="E84" s="76"/>
      <c r="F84" s="76"/>
      <c r="G84" s="46">
        <v>3044.9</v>
      </c>
      <c r="H84" s="46">
        <v>1.07</v>
      </c>
      <c r="I84" s="47">
        <v>0.01</v>
      </c>
    </row>
    <row r="85" spans="1:9" s="53" customFormat="1" ht="15" x14ac:dyDescent="0.2">
      <c r="A85" s="73" t="s">
        <v>42</v>
      </c>
      <c r="B85" s="74" t="s">
        <v>27</v>
      </c>
      <c r="C85" s="75"/>
      <c r="D85" s="79">
        <v>0</v>
      </c>
      <c r="E85" s="76"/>
      <c r="F85" s="76"/>
      <c r="G85" s="46">
        <v>3044.9</v>
      </c>
      <c r="H85" s="46">
        <v>1.07</v>
      </c>
      <c r="I85" s="47">
        <v>0.04</v>
      </c>
    </row>
    <row r="86" spans="1:9" s="53" customFormat="1" ht="25.5" x14ac:dyDescent="0.2">
      <c r="A86" s="73" t="s">
        <v>43</v>
      </c>
      <c r="B86" s="74" t="s">
        <v>26</v>
      </c>
      <c r="C86" s="75"/>
      <c r="D86" s="143">
        <v>3452.6</v>
      </c>
      <c r="E86" s="76"/>
      <c r="F86" s="76"/>
      <c r="G86" s="46">
        <v>3044.9</v>
      </c>
      <c r="H86" s="46">
        <v>1.07</v>
      </c>
      <c r="I86" s="47">
        <v>0.06</v>
      </c>
    </row>
    <row r="87" spans="1:9" s="53" customFormat="1" ht="30" customHeight="1" x14ac:dyDescent="0.2">
      <c r="A87" s="20" t="s">
        <v>163</v>
      </c>
      <c r="B87" s="23" t="s">
        <v>26</v>
      </c>
      <c r="C87" s="75"/>
      <c r="D87" s="22">
        <v>674.01</v>
      </c>
      <c r="E87" s="76"/>
      <c r="F87" s="76"/>
      <c r="G87" s="46"/>
      <c r="H87" s="46"/>
      <c r="I87" s="47"/>
    </row>
    <row r="88" spans="1:9" s="53" customFormat="1" ht="22.5" customHeight="1" x14ac:dyDescent="0.2">
      <c r="A88" s="73" t="s">
        <v>44</v>
      </c>
      <c r="B88" s="74" t="s">
        <v>26</v>
      </c>
      <c r="C88" s="75"/>
      <c r="D88" s="143">
        <v>7236.11</v>
      </c>
      <c r="E88" s="76"/>
      <c r="F88" s="76"/>
      <c r="G88" s="46">
        <v>3044.9</v>
      </c>
      <c r="H88" s="46">
        <v>1.07</v>
      </c>
      <c r="I88" s="47">
        <v>0.01</v>
      </c>
    </row>
    <row r="89" spans="1:9" s="53" customFormat="1" ht="25.5" x14ac:dyDescent="0.2">
      <c r="A89" s="73" t="s">
        <v>117</v>
      </c>
      <c r="B89" s="77" t="s">
        <v>118</v>
      </c>
      <c r="C89" s="80"/>
      <c r="D89" s="75">
        <v>0</v>
      </c>
      <c r="E89" s="76"/>
      <c r="F89" s="76"/>
      <c r="G89" s="46">
        <v>3044.9</v>
      </c>
      <c r="H89" s="46"/>
      <c r="I89" s="47"/>
    </row>
    <row r="90" spans="1:9" s="53" customFormat="1" ht="18" customHeight="1" x14ac:dyDescent="0.2">
      <c r="A90" s="73" t="s">
        <v>120</v>
      </c>
      <c r="B90" s="77" t="s">
        <v>26</v>
      </c>
      <c r="C90" s="75"/>
      <c r="D90" s="75">
        <v>0</v>
      </c>
      <c r="E90" s="76"/>
      <c r="F90" s="76"/>
      <c r="G90" s="46">
        <v>3044.9</v>
      </c>
      <c r="H90" s="46"/>
      <c r="I90" s="47"/>
    </row>
    <row r="91" spans="1:9" s="67" customFormat="1" ht="30" x14ac:dyDescent="0.2">
      <c r="A91" s="66" t="s">
        <v>45</v>
      </c>
      <c r="B91" s="56"/>
      <c r="C91" s="58" t="s">
        <v>175</v>
      </c>
      <c r="D91" s="58">
        <f>D92+D93+D94+D95+D96+D97</f>
        <v>33083.980000000003</v>
      </c>
      <c r="E91" s="58"/>
      <c r="F91" s="58">
        <f>E91/12</f>
        <v>0</v>
      </c>
      <c r="G91" s="46">
        <v>3044.9</v>
      </c>
      <c r="H91" s="46">
        <v>1.07</v>
      </c>
      <c r="I91" s="47">
        <v>0.85</v>
      </c>
    </row>
    <row r="92" spans="1:9" s="53" customFormat="1" ht="25.5" x14ac:dyDescent="0.2">
      <c r="A92" s="73" t="s">
        <v>121</v>
      </c>
      <c r="B92" s="77" t="s">
        <v>27</v>
      </c>
      <c r="C92" s="75"/>
      <c r="D92" s="143">
        <v>25643.5</v>
      </c>
      <c r="E92" s="76"/>
      <c r="F92" s="76"/>
      <c r="G92" s="46">
        <v>3044.9</v>
      </c>
      <c r="H92" s="46">
        <v>3044.9</v>
      </c>
      <c r="I92" s="46">
        <v>3044.9</v>
      </c>
    </row>
    <row r="93" spans="1:9" s="53" customFormat="1" ht="25.5" x14ac:dyDescent="0.2">
      <c r="A93" s="73" t="s">
        <v>46</v>
      </c>
      <c r="B93" s="74" t="s">
        <v>47</v>
      </c>
      <c r="C93" s="75"/>
      <c r="D93" s="22">
        <v>0</v>
      </c>
      <c r="E93" s="76"/>
      <c r="F93" s="76"/>
      <c r="G93" s="46">
        <v>2563.8000000000002</v>
      </c>
      <c r="H93" s="46">
        <v>1.07</v>
      </c>
      <c r="I93" s="47">
        <v>0.04</v>
      </c>
    </row>
    <row r="94" spans="1:9" s="53" customFormat="1" ht="21" customHeight="1" x14ac:dyDescent="0.2">
      <c r="A94" s="73" t="s">
        <v>49</v>
      </c>
      <c r="B94" s="74" t="s">
        <v>10</v>
      </c>
      <c r="C94" s="80"/>
      <c r="D94" s="143">
        <v>7440.48</v>
      </c>
      <c r="E94" s="76"/>
      <c r="F94" s="76"/>
      <c r="G94" s="46">
        <v>3044.9</v>
      </c>
      <c r="H94" s="46">
        <v>1.07</v>
      </c>
      <c r="I94" s="47">
        <v>0.14000000000000001</v>
      </c>
    </row>
    <row r="95" spans="1:9" s="83" customFormat="1" ht="25.5" x14ac:dyDescent="0.2">
      <c r="A95" s="73" t="s">
        <v>117</v>
      </c>
      <c r="B95" s="77" t="s">
        <v>118</v>
      </c>
      <c r="C95" s="81"/>
      <c r="D95" s="32">
        <v>0</v>
      </c>
      <c r="E95" s="82"/>
      <c r="F95" s="82"/>
      <c r="G95" s="46">
        <v>3044.9</v>
      </c>
      <c r="H95" s="46"/>
      <c r="I95" s="47"/>
    </row>
    <row r="96" spans="1:9" s="83" customFormat="1" ht="15" x14ac:dyDescent="0.2">
      <c r="A96" s="73" t="s">
        <v>122</v>
      </c>
      <c r="B96" s="77" t="s">
        <v>26</v>
      </c>
      <c r="C96" s="81"/>
      <c r="D96" s="32">
        <v>0</v>
      </c>
      <c r="E96" s="82"/>
      <c r="F96" s="82"/>
      <c r="G96" s="46">
        <v>3044.9</v>
      </c>
      <c r="H96" s="46"/>
      <c r="I96" s="47"/>
    </row>
    <row r="97" spans="1:9" s="83" customFormat="1" ht="15" x14ac:dyDescent="0.2">
      <c r="A97" s="78" t="s">
        <v>123</v>
      </c>
      <c r="B97" s="77" t="s">
        <v>48</v>
      </c>
      <c r="C97" s="81"/>
      <c r="D97" s="32">
        <v>0</v>
      </c>
      <c r="E97" s="82"/>
      <c r="F97" s="82"/>
      <c r="G97" s="46">
        <v>3044.9</v>
      </c>
      <c r="H97" s="46"/>
      <c r="I97" s="47"/>
    </row>
    <row r="98" spans="1:9" s="53" customFormat="1" ht="30" x14ac:dyDescent="0.2">
      <c r="A98" s="66" t="s">
        <v>50</v>
      </c>
      <c r="B98" s="74"/>
      <c r="C98" s="58" t="s">
        <v>176</v>
      </c>
      <c r="D98" s="58">
        <f>D99</f>
        <v>0</v>
      </c>
      <c r="E98" s="58"/>
      <c r="F98" s="58">
        <f>E98/12</f>
        <v>0</v>
      </c>
      <c r="G98" s="46">
        <v>3044.9</v>
      </c>
      <c r="H98" s="46">
        <v>1.07</v>
      </c>
      <c r="I98" s="47">
        <v>0.41</v>
      </c>
    </row>
    <row r="99" spans="1:9" s="53" customFormat="1" ht="21" customHeight="1" x14ac:dyDescent="0.2">
      <c r="A99" s="73" t="s">
        <v>51</v>
      </c>
      <c r="B99" s="84" t="s">
        <v>48</v>
      </c>
      <c r="C99" s="75"/>
      <c r="D99" s="75">
        <v>0</v>
      </c>
      <c r="E99" s="76"/>
      <c r="F99" s="76"/>
      <c r="G99" s="46">
        <v>3044.9</v>
      </c>
      <c r="H99" s="46">
        <v>1.07</v>
      </c>
      <c r="I99" s="47">
        <v>0.27</v>
      </c>
    </row>
    <row r="100" spans="1:9" s="53" customFormat="1" ht="25.5" x14ac:dyDescent="0.2">
      <c r="A100" s="73" t="s">
        <v>117</v>
      </c>
      <c r="B100" s="77" t="s">
        <v>118</v>
      </c>
      <c r="C100" s="80"/>
      <c r="D100" s="80">
        <v>0</v>
      </c>
      <c r="E100" s="85"/>
      <c r="F100" s="85"/>
      <c r="G100" s="46">
        <v>3044.9</v>
      </c>
      <c r="H100" s="46"/>
      <c r="I100" s="47"/>
    </row>
    <row r="101" spans="1:9" s="53" customFormat="1" ht="15" x14ac:dyDescent="0.2">
      <c r="A101" s="73" t="s">
        <v>124</v>
      </c>
      <c r="B101" s="77" t="s">
        <v>26</v>
      </c>
      <c r="C101" s="80"/>
      <c r="D101" s="80">
        <v>0</v>
      </c>
      <c r="E101" s="85"/>
      <c r="F101" s="85"/>
      <c r="G101" s="46">
        <v>3044.9</v>
      </c>
      <c r="H101" s="46"/>
      <c r="I101" s="47"/>
    </row>
    <row r="102" spans="1:9" s="53" customFormat="1" ht="15" x14ac:dyDescent="0.2">
      <c r="A102" s="78" t="s">
        <v>125</v>
      </c>
      <c r="B102" s="77" t="s">
        <v>48</v>
      </c>
      <c r="C102" s="80"/>
      <c r="D102" s="80">
        <v>0</v>
      </c>
      <c r="E102" s="85"/>
      <c r="F102" s="85"/>
      <c r="G102" s="46">
        <v>3044.9</v>
      </c>
      <c r="H102" s="46"/>
      <c r="I102" s="47"/>
    </row>
    <row r="103" spans="1:9" s="53" customFormat="1" ht="17.25" customHeight="1" x14ac:dyDescent="0.2">
      <c r="A103" s="66" t="s">
        <v>126</v>
      </c>
      <c r="B103" s="74"/>
      <c r="C103" s="58" t="s">
        <v>179</v>
      </c>
      <c r="D103" s="58">
        <f>D104+D105+D106+D107+D108+D109+D110</f>
        <v>8625.59</v>
      </c>
      <c r="E103" s="58"/>
      <c r="F103" s="58">
        <f>E103/12</f>
        <v>0</v>
      </c>
      <c r="G103" s="46">
        <v>2563.8000000000002</v>
      </c>
      <c r="H103" s="46">
        <v>1.07</v>
      </c>
      <c r="I103" s="47">
        <v>0.18</v>
      </c>
    </row>
    <row r="104" spans="1:9" s="53" customFormat="1" ht="23.25" customHeight="1" x14ac:dyDescent="0.2">
      <c r="A104" s="73" t="s">
        <v>52</v>
      </c>
      <c r="B104" s="74" t="s">
        <v>10</v>
      </c>
      <c r="C104" s="75"/>
      <c r="D104" s="75">
        <f t="shared" ref="D104:D109" si="3">E104*G104</f>
        <v>0</v>
      </c>
      <c r="E104" s="76"/>
      <c r="F104" s="76"/>
      <c r="G104" s="46">
        <v>2563.8000000000002</v>
      </c>
      <c r="H104" s="46">
        <v>1.07</v>
      </c>
      <c r="I104" s="47">
        <v>0</v>
      </c>
    </row>
    <row r="105" spans="1:9" s="53" customFormat="1" ht="45" customHeight="1" x14ac:dyDescent="0.2">
      <c r="A105" s="73" t="s">
        <v>127</v>
      </c>
      <c r="B105" s="74" t="s">
        <v>26</v>
      </c>
      <c r="C105" s="75"/>
      <c r="D105" s="143">
        <v>7532.19</v>
      </c>
      <c r="E105" s="76"/>
      <c r="F105" s="76"/>
      <c r="G105" s="46">
        <v>2563.8000000000002</v>
      </c>
      <c r="H105" s="46">
        <v>1.07</v>
      </c>
      <c r="I105" s="47">
        <v>0.16</v>
      </c>
    </row>
    <row r="106" spans="1:9" s="53" customFormat="1" ht="38.25" x14ac:dyDescent="0.2">
      <c r="A106" s="73" t="s">
        <v>128</v>
      </c>
      <c r="B106" s="74" t="s">
        <v>26</v>
      </c>
      <c r="C106" s="75"/>
      <c r="D106" s="143">
        <v>1093.4000000000001</v>
      </c>
      <c r="E106" s="76"/>
      <c r="F106" s="76"/>
      <c r="G106" s="46">
        <v>2563.8000000000002</v>
      </c>
      <c r="H106" s="46">
        <v>1.07</v>
      </c>
      <c r="I106" s="47">
        <v>0.02</v>
      </c>
    </row>
    <row r="107" spans="1:9" s="53" customFormat="1" ht="27.75" customHeight="1" x14ac:dyDescent="0.2">
      <c r="A107" s="73" t="s">
        <v>54</v>
      </c>
      <c r="B107" s="74" t="s">
        <v>18</v>
      </c>
      <c r="C107" s="75"/>
      <c r="D107" s="75">
        <f t="shared" si="3"/>
        <v>0</v>
      </c>
      <c r="E107" s="76"/>
      <c r="F107" s="76"/>
      <c r="G107" s="46">
        <v>2563.8000000000002</v>
      </c>
      <c r="H107" s="46">
        <v>1.07</v>
      </c>
      <c r="I107" s="47">
        <v>0</v>
      </c>
    </row>
    <row r="108" spans="1:9" s="53" customFormat="1" ht="18.75" customHeight="1" x14ac:dyDescent="0.2">
      <c r="A108" s="73" t="s">
        <v>53</v>
      </c>
      <c r="B108" s="77" t="s">
        <v>55</v>
      </c>
      <c r="C108" s="75"/>
      <c r="D108" s="75">
        <f t="shared" si="3"/>
        <v>0</v>
      </c>
      <c r="E108" s="76"/>
      <c r="F108" s="76"/>
      <c r="G108" s="46">
        <v>2563.8000000000002</v>
      </c>
      <c r="H108" s="46">
        <v>1.07</v>
      </c>
      <c r="I108" s="47">
        <v>0</v>
      </c>
    </row>
    <row r="109" spans="1:9" s="53" customFormat="1" ht="57.75" customHeight="1" x14ac:dyDescent="0.2">
      <c r="A109" s="73" t="s">
        <v>129</v>
      </c>
      <c r="B109" s="77" t="s">
        <v>71</v>
      </c>
      <c r="C109" s="75"/>
      <c r="D109" s="75">
        <f t="shared" si="3"/>
        <v>0</v>
      </c>
      <c r="E109" s="76"/>
      <c r="F109" s="76"/>
      <c r="G109" s="46">
        <v>2563.8000000000002</v>
      </c>
      <c r="H109" s="46">
        <v>1.07</v>
      </c>
      <c r="I109" s="47">
        <v>0</v>
      </c>
    </row>
    <row r="110" spans="1:9" s="53" customFormat="1" ht="22.5" customHeight="1" x14ac:dyDescent="0.2">
      <c r="A110" s="73" t="s">
        <v>138</v>
      </c>
      <c r="B110" s="77" t="s">
        <v>48</v>
      </c>
      <c r="C110" s="80"/>
      <c r="D110" s="80">
        <v>0</v>
      </c>
      <c r="E110" s="85"/>
      <c r="F110" s="85"/>
      <c r="G110" s="46">
        <v>2563.8000000000002</v>
      </c>
      <c r="H110" s="46"/>
      <c r="I110" s="47"/>
    </row>
    <row r="111" spans="1:9" s="53" customFormat="1" ht="15" x14ac:dyDescent="0.2">
      <c r="A111" s="66" t="s">
        <v>56</v>
      </c>
      <c r="B111" s="74"/>
      <c r="C111" s="58" t="s">
        <v>177</v>
      </c>
      <c r="D111" s="58">
        <f>D112</f>
        <v>0</v>
      </c>
      <c r="E111" s="58"/>
      <c r="F111" s="58">
        <f>E111/12</f>
        <v>0</v>
      </c>
      <c r="G111" s="46">
        <v>3044.9</v>
      </c>
      <c r="H111" s="46">
        <v>1.07</v>
      </c>
      <c r="I111" s="47">
        <v>0.12</v>
      </c>
    </row>
    <row r="112" spans="1:9" s="53" customFormat="1" ht="15" x14ac:dyDescent="0.2">
      <c r="A112" s="73" t="s">
        <v>57</v>
      </c>
      <c r="B112" s="74" t="s">
        <v>26</v>
      </c>
      <c r="C112" s="75"/>
      <c r="D112" s="143">
        <v>0</v>
      </c>
      <c r="E112" s="76"/>
      <c r="F112" s="76"/>
      <c r="G112" s="46">
        <v>3044.9</v>
      </c>
      <c r="H112" s="46">
        <v>1.07</v>
      </c>
      <c r="I112" s="47">
        <v>0.02</v>
      </c>
    </row>
    <row r="113" spans="1:9" s="46" customFormat="1" ht="30" x14ac:dyDescent="0.2">
      <c r="A113" s="66" t="s">
        <v>58</v>
      </c>
      <c r="B113" s="56"/>
      <c r="C113" s="58" t="s">
        <v>178</v>
      </c>
      <c r="D113" s="58">
        <f>D114+D115</f>
        <v>12480</v>
      </c>
      <c r="E113" s="58"/>
      <c r="F113" s="58">
        <f>E113/12</f>
        <v>0</v>
      </c>
      <c r="G113" s="46">
        <v>2563.8000000000002</v>
      </c>
      <c r="H113" s="46">
        <v>1.07</v>
      </c>
      <c r="I113" s="47">
        <v>0.64</v>
      </c>
    </row>
    <row r="114" spans="1:9" s="53" customFormat="1" ht="46.5" customHeight="1" x14ac:dyDescent="0.2">
      <c r="A114" s="69" t="s">
        <v>130</v>
      </c>
      <c r="B114" s="77" t="s">
        <v>27</v>
      </c>
      <c r="C114" s="75"/>
      <c r="D114" s="22">
        <v>12480</v>
      </c>
      <c r="E114" s="76"/>
      <c r="F114" s="76"/>
      <c r="G114" s="46">
        <v>2563.8000000000002</v>
      </c>
      <c r="H114" s="46">
        <v>1.07</v>
      </c>
      <c r="I114" s="47">
        <v>0.04</v>
      </c>
    </row>
    <row r="115" spans="1:9" s="53" customFormat="1" ht="27" customHeight="1" x14ac:dyDescent="0.2">
      <c r="A115" s="69" t="s">
        <v>168</v>
      </c>
      <c r="B115" s="77" t="s">
        <v>71</v>
      </c>
      <c r="C115" s="75"/>
      <c r="D115" s="22">
        <v>0</v>
      </c>
      <c r="E115" s="76"/>
      <c r="F115" s="76"/>
      <c r="G115" s="46">
        <v>2563.8000000000002</v>
      </c>
      <c r="H115" s="46">
        <v>1.07</v>
      </c>
      <c r="I115" s="47">
        <v>0.6</v>
      </c>
    </row>
    <row r="116" spans="1:9" s="46" customFormat="1" ht="15" x14ac:dyDescent="0.2">
      <c r="A116" s="66" t="s">
        <v>59</v>
      </c>
      <c r="B116" s="56"/>
      <c r="C116" s="58" t="s">
        <v>173</v>
      </c>
      <c r="D116" s="58">
        <f>D117+D118</f>
        <v>0</v>
      </c>
      <c r="E116" s="58"/>
      <c r="F116" s="58">
        <f>E116/12</f>
        <v>0</v>
      </c>
      <c r="G116" s="46">
        <v>2563.8000000000002</v>
      </c>
      <c r="H116" s="46">
        <v>1.07</v>
      </c>
      <c r="I116" s="47">
        <v>0.05</v>
      </c>
    </row>
    <row r="117" spans="1:9" s="53" customFormat="1" ht="15" x14ac:dyDescent="0.2">
      <c r="A117" s="73" t="s">
        <v>74</v>
      </c>
      <c r="B117" s="74" t="s">
        <v>60</v>
      </c>
      <c r="C117" s="75"/>
      <c r="D117" s="24">
        <v>0</v>
      </c>
      <c r="E117" s="86"/>
      <c r="F117" s="86"/>
      <c r="G117" s="46">
        <v>2563.8000000000002</v>
      </c>
      <c r="H117" s="46">
        <v>1.07</v>
      </c>
      <c r="I117" s="47">
        <v>0.03</v>
      </c>
    </row>
    <row r="118" spans="1:9" s="53" customFormat="1" ht="15" x14ac:dyDescent="0.2">
      <c r="A118" s="73" t="s">
        <v>61</v>
      </c>
      <c r="B118" s="74" t="s">
        <v>60</v>
      </c>
      <c r="C118" s="75"/>
      <c r="D118" s="75">
        <v>0</v>
      </c>
      <c r="E118" s="76"/>
      <c r="F118" s="76"/>
      <c r="G118" s="46">
        <v>2563.8000000000002</v>
      </c>
      <c r="H118" s="46">
        <v>1.07</v>
      </c>
      <c r="I118" s="47">
        <v>0.02</v>
      </c>
    </row>
    <row r="119" spans="1:9" s="46" customFormat="1" ht="129.75" x14ac:dyDescent="0.2">
      <c r="A119" s="66" t="s">
        <v>185</v>
      </c>
      <c r="B119" s="56" t="s">
        <v>18</v>
      </c>
      <c r="C119" s="87"/>
      <c r="D119" s="88">
        <v>50000</v>
      </c>
      <c r="E119" s="88">
        <f>D119/G119</f>
        <v>19.5</v>
      </c>
      <c r="F119" s="88">
        <f>E119/12</f>
        <v>1.63</v>
      </c>
      <c r="G119" s="46">
        <v>2563.8000000000002</v>
      </c>
      <c r="H119" s="46">
        <v>1.07</v>
      </c>
      <c r="I119" s="47">
        <v>0.3</v>
      </c>
    </row>
    <row r="120" spans="1:9" s="46" customFormat="1" ht="18.75" x14ac:dyDescent="0.2">
      <c r="A120" s="25" t="s">
        <v>180</v>
      </c>
      <c r="B120" s="9" t="s">
        <v>10</v>
      </c>
      <c r="C120" s="87"/>
      <c r="D120" s="87">
        <f>12004.62+1948.84</f>
        <v>13953.46</v>
      </c>
      <c r="E120" s="87">
        <f>D120/G120</f>
        <v>5.44</v>
      </c>
      <c r="F120" s="87">
        <f>E120/12</f>
        <v>0.45</v>
      </c>
      <c r="G120" s="46">
        <v>2563.8000000000002</v>
      </c>
      <c r="I120" s="47"/>
    </row>
    <row r="121" spans="1:9" s="46" customFormat="1" ht="18.75" x14ac:dyDescent="0.2">
      <c r="A121" s="25" t="s">
        <v>181</v>
      </c>
      <c r="B121" s="9" t="s">
        <v>10</v>
      </c>
      <c r="C121" s="89"/>
      <c r="D121" s="87">
        <f>(1948.84+8101.03+4423.71)</f>
        <v>14473.58</v>
      </c>
      <c r="E121" s="87">
        <f t="shared" ref="E121:E123" si="4">D121/G121</f>
        <v>5.65</v>
      </c>
      <c r="F121" s="87">
        <f t="shared" ref="F121:F123" si="5">E121/12</f>
        <v>0.47</v>
      </c>
      <c r="G121" s="46">
        <v>2563.8000000000002</v>
      </c>
      <c r="I121" s="47"/>
    </row>
    <row r="122" spans="1:9" s="46" customFormat="1" ht="18.75" x14ac:dyDescent="0.2">
      <c r="A122" s="25" t="s">
        <v>182</v>
      </c>
      <c r="B122" s="9" t="s">
        <v>10</v>
      </c>
      <c r="C122" s="89"/>
      <c r="D122" s="87">
        <v>53980.38</v>
      </c>
      <c r="E122" s="87">
        <f t="shared" si="4"/>
        <v>21.05</v>
      </c>
      <c r="F122" s="87">
        <f t="shared" si="5"/>
        <v>1.75</v>
      </c>
      <c r="G122" s="46">
        <v>2563.8000000000002</v>
      </c>
      <c r="I122" s="47"/>
    </row>
    <row r="123" spans="1:9" s="46" customFormat="1" ht="19.5" thickBot="1" x14ac:dyDescent="0.25">
      <c r="A123" s="25" t="s">
        <v>183</v>
      </c>
      <c r="B123" s="9" t="s">
        <v>10</v>
      </c>
      <c r="C123" s="89"/>
      <c r="D123" s="87">
        <v>16151.77</v>
      </c>
      <c r="E123" s="87">
        <f t="shared" si="4"/>
        <v>6.3</v>
      </c>
      <c r="F123" s="87">
        <f t="shared" si="5"/>
        <v>0.53</v>
      </c>
      <c r="G123" s="46">
        <v>2563.8000000000002</v>
      </c>
      <c r="I123" s="47"/>
    </row>
    <row r="124" spans="1:9" s="46" customFormat="1" ht="30.75" thickBot="1" x14ac:dyDescent="0.25">
      <c r="A124" s="90" t="s">
        <v>62</v>
      </c>
      <c r="B124" s="91" t="s">
        <v>170</v>
      </c>
      <c r="C124" s="87"/>
      <c r="D124" s="35">
        <v>0</v>
      </c>
      <c r="E124" s="33">
        <f>D124/G124</f>
        <v>0</v>
      </c>
      <c r="F124" s="33">
        <f>E124/12</f>
        <v>0</v>
      </c>
      <c r="G124" s="46">
        <v>2563.8000000000002</v>
      </c>
      <c r="I124" s="47"/>
    </row>
    <row r="125" spans="1:9" s="46" customFormat="1" ht="19.5" thickBot="1" x14ac:dyDescent="0.25">
      <c r="A125" s="92" t="s">
        <v>63</v>
      </c>
      <c r="B125" s="93" t="s">
        <v>15</v>
      </c>
      <c r="C125" s="89"/>
      <c r="D125" s="94">
        <f>E125*G125</f>
        <v>51558.5</v>
      </c>
      <c r="E125" s="87">
        <f>12*F125</f>
        <v>24.72</v>
      </c>
      <c r="F125" s="87">
        <v>2.06</v>
      </c>
      <c r="G125" s="46">
        <f>2563.8-478.1</f>
        <v>2085.6999999999998</v>
      </c>
      <c r="I125" s="47"/>
    </row>
    <row r="126" spans="1:9" s="46" customFormat="1" ht="20.25" thickBot="1" x14ac:dyDescent="0.45">
      <c r="A126" s="95" t="s">
        <v>64</v>
      </c>
      <c r="B126" s="96"/>
      <c r="C126" s="97"/>
      <c r="D126" s="98">
        <f>D124+D119+D116+D113+D111+D103+D98+D91+D76+D75+D74+D73+D59+D57+D53+D47+D46+D45+D44+D43+D32+D14+D125+D62+D60+D58+D120+D121+D122+D123+D72+D61</f>
        <v>923762.88</v>
      </c>
      <c r="E126" s="99"/>
      <c r="F126" s="99"/>
      <c r="I126" s="47"/>
    </row>
    <row r="127" spans="1:9" s="108" customFormat="1" ht="19.5" thickBot="1" x14ac:dyDescent="0.45">
      <c r="A127" s="105"/>
      <c r="B127" s="106"/>
      <c r="C127" s="107"/>
      <c r="D127" s="107"/>
      <c r="E127" s="107"/>
      <c r="F127" s="107"/>
      <c r="I127" s="109"/>
    </row>
    <row r="128" spans="1:9" s="108" customFormat="1" ht="38.25" thickBot="1" x14ac:dyDescent="0.45">
      <c r="A128" s="92" t="s">
        <v>65</v>
      </c>
      <c r="B128" s="115"/>
      <c r="C128" s="116"/>
      <c r="D128" s="120">
        <v>0</v>
      </c>
      <c r="E128" s="120">
        <v>0</v>
      </c>
      <c r="F128" s="120">
        <v>0</v>
      </c>
      <c r="G128" s="46">
        <v>2563.8000000000002</v>
      </c>
      <c r="I128" s="109"/>
    </row>
    <row r="129" spans="1:9" s="108" customFormat="1" ht="19.5" thickBot="1" x14ac:dyDescent="0.45">
      <c r="A129" s="105"/>
      <c r="B129" s="106"/>
      <c r="C129" s="107"/>
      <c r="D129" s="123"/>
      <c r="E129" s="123"/>
      <c r="F129" s="123"/>
      <c r="I129" s="109"/>
    </row>
    <row r="130" spans="1:9" s="118" customFormat="1" ht="20.25" thickBot="1" x14ac:dyDescent="0.45">
      <c r="A130" s="95" t="s">
        <v>66</v>
      </c>
      <c r="B130" s="110"/>
      <c r="C130" s="110"/>
      <c r="D130" s="124">
        <f>D126+D128</f>
        <v>923762.88</v>
      </c>
      <c r="E130" s="124">
        <f>E126+E128</f>
        <v>0</v>
      </c>
      <c r="F130" s="124">
        <f>F126+F128</f>
        <v>0</v>
      </c>
      <c r="I130" s="119"/>
    </row>
    <row r="131" spans="1:9" s="108" customFormat="1" ht="19.5" x14ac:dyDescent="0.4">
      <c r="A131" s="111"/>
      <c r="B131" s="112"/>
      <c r="C131" s="112"/>
      <c r="D131" s="113"/>
      <c r="E131" s="113"/>
      <c r="F131" s="113"/>
      <c r="I131" s="109"/>
    </row>
    <row r="132" spans="1:9" s="108" customFormat="1" ht="19.5" x14ac:dyDescent="0.4">
      <c r="A132" s="111"/>
      <c r="B132" s="112"/>
      <c r="C132" s="112"/>
      <c r="D132" s="113"/>
      <c r="E132" s="113"/>
      <c r="F132" s="113"/>
      <c r="I132" s="109"/>
    </row>
    <row r="133" spans="1:9" s="108" customFormat="1" ht="19.5" x14ac:dyDescent="0.4">
      <c r="A133" s="111"/>
      <c r="B133" s="112"/>
      <c r="C133" s="112"/>
      <c r="D133" s="113"/>
      <c r="E133" s="113"/>
      <c r="F133" s="113"/>
      <c r="I133" s="109"/>
    </row>
    <row r="134" spans="1:9" s="100" customFormat="1" ht="19.5" x14ac:dyDescent="0.2">
      <c r="A134" s="114"/>
      <c r="B134" s="112"/>
      <c r="C134" s="113"/>
      <c r="D134" s="113"/>
      <c r="E134" s="113"/>
      <c r="F134" s="113"/>
      <c r="I134" s="101"/>
    </row>
    <row r="135" spans="1:9" s="103" customFormat="1" ht="14.25" x14ac:dyDescent="0.2">
      <c r="A135" s="203" t="s">
        <v>67</v>
      </c>
      <c r="B135" s="203"/>
      <c r="C135" s="203"/>
      <c r="D135" s="203"/>
      <c r="I135" s="104"/>
    </row>
    <row r="136" spans="1:9" s="103" customFormat="1" x14ac:dyDescent="0.2">
      <c r="I136" s="104"/>
    </row>
    <row r="137" spans="1:9" s="103" customFormat="1" x14ac:dyDescent="0.2">
      <c r="A137" s="102" t="s">
        <v>68</v>
      </c>
      <c r="I137" s="104"/>
    </row>
    <row r="138" spans="1:9" s="27" customFormat="1" x14ac:dyDescent="0.2">
      <c r="I138" s="28"/>
    </row>
    <row r="139" spans="1:9" s="27" customFormat="1" x14ac:dyDescent="0.2">
      <c r="I139" s="28"/>
    </row>
    <row r="140" spans="1:9" s="27" customFormat="1" x14ac:dyDescent="0.2">
      <c r="I140" s="28"/>
    </row>
    <row r="141" spans="1:9" s="27" customFormat="1" x14ac:dyDescent="0.2">
      <c r="I141" s="28"/>
    </row>
    <row r="142" spans="1:9" s="27" customFormat="1" x14ac:dyDescent="0.2">
      <c r="I142" s="28"/>
    </row>
    <row r="143" spans="1:9" s="27" customFormat="1" x14ac:dyDescent="0.2">
      <c r="I143" s="28"/>
    </row>
    <row r="144" spans="1:9" s="27" customFormat="1" x14ac:dyDescent="0.2">
      <c r="I144" s="28"/>
    </row>
    <row r="145" spans="9:9" s="27" customFormat="1" x14ac:dyDescent="0.2">
      <c r="I145" s="28"/>
    </row>
    <row r="146" spans="9:9" s="27" customFormat="1" x14ac:dyDescent="0.2">
      <c r="I146" s="28"/>
    </row>
    <row r="147" spans="9:9" s="27" customFormat="1" x14ac:dyDescent="0.2">
      <c r="I147" s="28"/>
    </row>
    <row r="148" spans="9:9" s="27" customFormat="1" x14ac:dyDescent="0.2">
      <c r="I148" s="28"/>
    </row>
    <row r="149" spans="9:9" s="27" customFormat="1" x14ac:dyDescent="0.2">
      <c r="I149" s="28"/>
    </row>
    <row r="150" spans="9:9" s="27" customFormat="1" x14ac:dyDescent="0.2">
      <c r="I150" s="28"/>
    </row>
    <row r="151" spans="9:9" s="27" customFormat="1" x14ac:dyDescent="0.2">
      <c r="I151" s="28"/>
    </row>
    <row r="152" spans="9:9" s="27" customFormat="1" x14ac:dyDescent="0.2">
      <c r="I152" s="28"/>
    </row>
    <row r="153" spans="9:9" s="27" customFormat="1" x14ac:dyDescent="0.2">
      <c r="I153" s="28"/>
    </row>
    <row r="154" spans="9:9" s="27" customFormat="1" x14ac:dyDescent="0.2">
      <c r="I154" s="28"/>
    </row>
    <row r="155" spans="9:9" s="27" customFormat="1" x14ac:dyDescent="0.2">
      <c r="I155" s="28"/>
    </row>
  </sheetData>
  <mergeCells count="12">
    <mergeCell ref="G9:J9"/>
    <mergeCell ref="A10:F10"/>
    <mergeCell ref="A13:F13"/>
    <mergeCell ref="A135:D135"/>
    <mergeCell ref="A1:F1"/>
    <mergeCell ref="B2:F2"/>
    <mergeCell ref="B3:F3"/>
    <mergeCell ref="B5:F5"/>
    <mergeCell ref="A6:F6"/>
    <mergeCell ref="A7:F7"/>
    <mergeCell ref="A8:F8"/>
    <mergeCell ref="A9:F9"/>
  </mergeCells>
  <printOptions horizontalCentered="1"/>
  <pageMargins left="0.2" right="0.2" top="0.19685039370078741" bottom="0.2" header="0.2" footer="0.2"/>
  <pageSetup paperSize="9" scale="62" orientation="portrait" r:id="rId1"/>
  <headerFooter alignWithMargins="0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51"/>
  <sheetViews>
    <sheetView zoomScale="90" zoomScaleNormal="90" workbookViewId="0">
      <selection activeCell="A110" sqref="A110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18.140625" style="1" customWidth="1"/>
    <col min="5" max="5" width="15.7109375" style="1" customWidth="1"/>
    <col min="6" max="6" width="20.85546875" style="1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10" ht="16.5" customHeight="1" x14ac:dyDescent="0.2">
      <c r="A1" s="193" t="s">
        <v>142</v>
      </c>
      <c r="B1" s="216"/>
      <c r="C1" s="216"/>
      <c r="D1" s="216"/>
      <c r="E1" s="216"/>
      <c r="F1" s="216"/>
    </row>
    <row r="2" spans="1:10" ht="12.75" customHeight="1" x14ac:dyDescent="0.3">
      <c r="A2" s="148"/>
      <c r="B2" s="195"/>
      <c r="C2" s="195"/>
      <c r="D2" s="195"/>
      <c r="E2" s="216"/>
      <c r="F2" s="216"/>
    </row>
    <row r="3" spans="1:10" ht="21" customHeight="1" x14ac:dyDescent="0.3">
      <c r="A3" s="152" t="s">
        <v>164</v>
      </c>
      <c r="B3" s="195" t="s">
        <v>0</v>
      </c>
      <c r="C3" s="195"/>
      <c r="D3" s="195"/>
      <c r="E3" s="216"/>
      <c r="F3" s="216"/>
    </row>
    <row r="4" spans="1:10" ht="21" customHeight="1" x14ac:dyDescent="0.3">
      <c r="A4" s="152"/>
      <c r="B4" s="146"/>
      <c r="C4" s="146"/>
      <c r="D4" s="146"/>
      <c r="E4" s="149"/>
      <c r="F4" s="149"/>
    </row>
    <row r="5" spans="1:10" ht="14.25" customHeight="1" x14ac:dyDescent="0.3">
      <c r="A5" s="148"/>
      <c r="B5" s="195" t="s">
        <v>143</v>
      </c>
      <c r="C5" s="195"/>
      <c r="D5" s="195"/>
      <c r="E5" s="216"/>
      <c r="F5" s="216"/>
    </row>
    <row r="6" spans="1:10" ht="18" customHeight="1" x14ac:dyDescent="0.4">
      <c r="A6" s="196"/>
      <c r="B6" s="196"/>
      <c r="C6" s="196"/>
      <c r="D6" s="196"/>
      <c r="E6" s="196"/>
      <c r="F6" s="196"/>
    </row>
    <row r="7" spans="1:10" s="6" customFormat="1" ht="22.5" customHeight="1" x14ac:dyDescent="0.4">
      <c r="A7" s="205" t="s">
        <v>1</v>
      </c>
      <c r="B7" s="205"/>
      <c r="C7" s="205"/>
      <c r="D7" s="205"/>
      <c r="E7" s="217"/>
      <c r="F7" s="217"/>
      <c r="I7" s="7"/>
    </row>
    <row r="8" spans="1:10" s="8" customFormat="1" ht="18.75" customHeight="1" x14ac:dyDescent="0.4">
      <c r="A8" s="205" t="s">
        <v>139</v>
      </c>
      <c r="B8" s="205"/>
      <c r="C8" s="205"/>
      <c r="D8" s="205"/>
      <c r="E8" s="217"/>
      <c r="F8" s="217"/>
    </row>
    <row r="9" spans="1:10" s="40" customFormat="1" ht="17.25" customHeight="1" x14ac:dyDescent="0.2">
      <c r="A9" s="218" t="s">
        <v>2</v>
      </c>
      <c r="B9" s="218"/>
      <c r="C9" s="218"/>
      <c r="D9" s="218"/>
      <c r="E9" s="219"/>
      <c r="F9" s="219"/>
      <c r="G9" s="204"/>
      <c r="H9" s="204"/>
      <c r="I9" s="204"/>
      <c r="J9" s="204"/>
    </row>
    <row r="10" spans="1:10" s="41" customFormat="1" ht="30" customHeight="1" thickBot="1" x14ac:dyDescent="0.25">
      <c r="A10" s="209" t="s">
        <v>3</v>
      </c>
      <c r="B10" s="209"/>
      <c r="C10" s="209"/>
      <c r="D10" s="209"/>
      <c r="E10" s="210"/>
      <c r="F10" s="210"/>
    </row>
    <row r="11" spans="1:10" s="46" customFormat="1" ht="139.5" customHeight="1" thickBot="1" x14ac:dyDescent="0.25">
      <c r="A11" s="153" t="s">
        <v>4</v>
      </c>
      <c r="B11" s="154" t="s">
        <v>5</v>
      </c>
      <c r="C11" s="155" t="s">
        <v>131</v>
      </c>
      <c r="D11" s="155" t="s">
        <v>7</v>
      </c>
      <c r="E11" s="155" t="s">
        <v>6</v>
      </c>
      <c r="F11" s="156" t="s">
        <v>8</v>
      </c>
      <c r="I11" s="47"/>
    </row>
    <row r="12" spans="1:10" s="53" customFormat="1" x14ac:dyDescent="0.2">
      <c r="A12" s="157">
        <v>1</v>
      </c>
      <c r="B12" s="158">
        <v>2</v>
      </c>
      <c r="C12" s="159">
        <v>3</v>
      </c>
      <c r="D12" s="159">
        <v>4</v>
      </c>
      <c r="E12" s="160">
        <v>5</v>
      </c>
      <c r="F12" s="161">
        <v>6</v>
      </c>
      <c r="I12" s="54"/>
    </row>
    <row r="13" spans="1:10" s="53" customFormat="1" ht="49.5" customHeight="1" x14ac:dyDescent="0.2">
      <c r="A13" s="211" t="s">
        <v>9</v>
      </c>
      <c r="B13" s="212"/>
      <c r="C13" s="212"/>
      <c r="D13" s="212"/>
      <c r="E13" s="213"/>
      <c r="F13" s="214"/>
      <c r="I13" s="54"/>
    </row>
    <row r="14" spans="1:10" s="46" customFormat="1" ht="16.5" customHeight="1" x14ac:dyDescent="0.2">
      <c r="A14" s="162" t="s">
        <v>77</v>
      </c>
      <c r="B14" s="9" t="s">
        <v>10</v>
      </c>
      <c r="C14" s="16" t="s">
        <v>141</v>
      </c>
      <c r="D14" s="16">
        <f>E14*G14</f>
        <v>111063.82</v>
      </c>
      <c r="E14" s="10">
        <f>F14*12</f>
        <v>43.32</v>
      </c>
      <c r="F14" s="10">
        <f>F25+F27</f>
        <v>3.61</v>
      </c>
      <c r="G14" s="46">
        <v>2563.8000000000002</v>
      </c>
      <c r="H14" s="46">
        <v>1.07</v>
      </c>
      <c r="I14" s="47">
        <v>2.2400000000000002</v>
      </c>
      <c r="J14" s="46">
        <v>3044.9</v>
      </c>
    </row>
    <row r="15" spans="1:10" s="46" customFormat="1" ht="29.25" customHeight="1" x14ac:dyDescent="0.2">
      <c r="A15" s="36" t="s">
        <v>11</v>
      </c>
      <c r="B15" s="37" t="s">
        <v>12</v>
      </c>
      <c r="C15" s="15"/>
      <c r="D15" s="15"/>
      <c r="E15" s="14"/>
      <c r="F15" s="14"/>
      <c r="I15" s="47"/>
    </row>
    <row r="16" spans="1:10" s="46" customFormat="1" ht="24" customHeight="1" x14ac:dyDescent="0.2">
      <c r="A16" s="36" t="s">
        <v>13</v>
      </c>
      <c r="B16" s="37" t="s">
        <v>12</v>
      </c>
      <c r="C16" s="15"/>
      <c r="D16" s="15"/>
      <c r="E16" s="14"/>
      <c r="F16" s="14"/>
      <c r="I16" s="47"/>
    </row>
    <row r="17" spans="1:10" s="46" customFormat="1" ht="120" customHeight="1" x14ac:dyDescent="0.2">
      <c r="A17" s="36" t="s">
        <v>78</v>
      </c>
      <c r="B17" s="37" t="s">
        <v>27</v>
      </c>
      <c r="C17" s="15"/>
      <c r="D17" s="15"/>
      <c r="E17" s="14"/>
      <c r="F17" s="14"/>
      <c r="I17" s="47"/>
    </row>
    <row r="18" spans="1:10" s="46" customFormat="1" ht="15" x14ac:dyDescent="0.2">
      <c r="A18" s="36" t="s">
        <v>79</v>
      </c>
      <c r="B18" s="37" t="s">
        <v>12</v>
      </c>
      <c r="C18" s="15"/>
      <c r="D18" s="15"/>
      <c r="E18" s="14"/>
      <c r="F18" s="14"/>
      <c r="I18" s="47"/>
    </row>
    <row r="19" spans="1:10" s="46" customFormat="1" ht="15" x14ac:dyDescent="0.2">
      <c r="A19" s="36" t="s">
        <v>80</v>
      </c>
      <c r="B19" s="37" t="s">
        <v>12</v>
      </c>
      <c r="C19" s="15"/>
      <c r="D19" s="15"/>
      <c r="E19" s="14"/>
      <c r="F19" s="14"/>
      <c r="I19" s="47"/>
    </row>
    <row r="20" spans="1:10" s="46" customFormat="1" ht="25.5" x14ac:dyDescent="0.2">
      <c r="A20" s="36" t="s">
        <v>81</v>
      </c>
      <c r="B20" s="37" t="s">
        <v>18</v>
      </c>
      <c r="C20" s="15"/>
      <c r="D20" s="15"/>
      <c r="E20" s="14"/>
      <c r="F20" s="14"/>
      <c r="I20" s="47"/>
    </row>
    <row r="21" spans="1:10" s="46" customFormat="1" ht="15" x14ac:dyDescent="0.2">
      <c r="A21" s="36" t="s">
        <v>82</v>
      </c>
      <c r="B21" s="37" t="s">
        <v>21</v>
      </c>
      <c r="C21" s="15"/>
      <c r="D21" s="15"/>
      <c r="E21" s="14"/>
      <c r="F21" s="14"/>
      <c r="I21" s="47"/>
    </row>
    <row r="22" spans="1:10" s="46" customFormat="1" ht="15" x14ac:dyDescent="0.2">
      <c r="A22" s="36" t="s">
        <v>156</v>
      </c>
      <c r="B22" s="37" t="s">
        <v>12</v>
      </c>
      <c r="C22" s="15"/>
      <c r="D22" s="15"/>
      <c r="E22" s="14"/>
      <c r="F22" s="14"/>
      <c r="I22" s="47"/>
    </row>
    <row r="23" spans="1:10" s="46" customFormat="1" ht="15" x14ac:dyDescent="0.2">
      <c r="A23" s="36" t="s">
        <v>157</v>
      </c>
      <c r="B23" s="37" t="s">
        <v>12</v>
      </c>
      <c r="C23" s="15"/>
      <c r="D23" s="15"/>
      <c r="E23" s="14"/>
      <c r="F23" s="14"/>
      <c r="I23" s="47"/>
    </row>
    <row r="24" spans="1:10" s="46" customFormat="1" ht="15" x14ac:dyDescent="0.2">
      <c r="A24" s="36" t="s">
        <v>83</v>
      </c>
      <c r="B24" s="37" t="s">
        <v>26</v>
      </c>
      <c r="C24" s="15"/>
      <c r="D24" s="15"/>
      <c r="E24" s="14"/>
      <c r="F24" s="14"/>
      <c r="I24" s="47"/>
    </row>
    <row r="25" spans="1:10" s="46" customFormat="1" ht="15" x14ac:dyDescent="0.2">
      <c r="A25" s="162" t="s">
        <v>73</v>
      </c>
      <c r="B25" s="13"/>
      <c r="C25" s="15"/>
      <c r="D25" s="15"/>
      <c r="E25" s="14"/>
      <c r="F25" s="10">
        <v>3.61</v>
      </c>
      <c r="G25" s="46">
        <v>2563.8000000000002</v>
      </c>
      <c r="I25" s="47"/>
      <c r="J25" s="46">
        <v>3044.9</v>
      </c>
    </row>
    <row r="26" spans="1:10" s="46" customFormat="1" ht="15" x14ac:dyDescent="0.2">
      <c r="A26" s="12" t="s">
        <v>72</v>
      </c>
      <c r="B26" s="13" t="s">
        <v>12</v>
      </c>
      <c r="C26" s="15"/>
      <c r="D26" s="15"/>
      <c r="E26" s="14"/>
      <c r="F26" s="14">
        <v>0</v>
      </c>
      <c r="G26" s="46">
        <v>2563.8000000000002</v>
      </c>
      <c r="I26" s="47"/>
      <c r="J26" s="46">
        <v>3044.9</v>
      </c>
    </row>
    <row r="27" spans="1:10" s="46" customFormat="1" ht="15" x14ac:dyDescent="0.2">
      <c r="A27" s="162" t="s">
        <v>73</v>
      </c>
      <c r="B27" s="13"/>
      <c r="C27" s="15"/>
      <c r="D27" s="15"/>
      <c r="E27" s="14"/>
      <c r="F27" s="10">
        <f>F26</f>
        <v>0</v>
      </c>
      <c r="I27" s="47"/>
    </row>
    <row r="28" spans="1:10" s="46" customFormat="1" ht="30" x14ac:dyDescent="0.2">
      <c r="A28" s="162" t="s">
        <v>14</v>
      </c>
      <c r="B28" s="163" t="s">
        <v>15</v>
      </c>
      <c r="C28" s="16" t="s">
        <v>132</v>
      </c>
      <c r="D28" s="16">
        <f>E28*G28</f>
        <v>16613.419999999998</v>
      </c>
      <c r="E28" s="10">
        <f>12*F28</f>
        <v>6.48</v>
      </c>
      <c r="F28" s="10">
        <v>0.54</v>
      </c>
      <c r="G28" s="46">
        <v>2563.8000000000002</v>
      </c>
      <c r="H28" s="46">
        <v>1.07</v>
      </c>
      <c r="I28" s="47">
        <v>1.27</v>
      </c>
    </row>
    <row r="29" spans="1:10" s="46" customFormat="1" ht="15" x14ac:dyDescent="0.2">
      <c r="A29" s="36" t="s">
        <v>84</v>
      </c>
      <c r="B29" s="37" t="s">
        <v>15</v>
      </c>
      <c r="C29" s="16"/>
      <c r="D29" s="16"/>
      <c r="E29" s="10"/>
      <c r="F29" s="10"/>
      <c r="I29" s="47"/>
    </row>
    <row r="30" spans="1:10" s="46" customFormat="1" ht="15" x14ac:dyDescent="0.2">
      <c r="A30" s="36" t="s">
        <v>85</v>
      </c>
      <c r="B30" s="37" t="s">
        <v>86</v>
      </c>
      <c r="C30" s="16"/>
      <c r="D30" s="16"/>
      <c r="E30" s="10"/>
      <c r="F30" s="10"/>
      <c r="I30" s="47"/>
    </row>
    <row r="31" spans="1:10" s="46" customFormat="1" ht="15" x14ac:dyDescent="0.2">
      <c r="A31" s="36" t="s">
        <v>87</v>
      </c>
      <c r="B31" s="37" t="s">
        <v>88</v>
      </c>
      <c r="C31" s="16"/>
      <c r="D31" s="16"/>
      <c r="E31" s="10"/>
      <c r="F31" s="10"/>
      <c r="I31" s="47"/>
    </row>
    <row r="32" spans="1:10" s="46" customFormat="1" ht="15" x14ac:dyDescent="0.2">
      <c r="A32" s="36" t="s">
        <v>16</v>
      </c>
      <c r="B32" s="37" t="s">
        <v>15</v>
      </c>
      <c r="C32" s="16"/>
      <c r="D32" s="16"/>
      <c r="E32" s="10"/>
      <c r="F32" s="10"/>
      <c r="I32" s="47"/>
    </row>
    <row r="33" spans="1:10" s="46" customFormat="1" ht="25.5" x14ac:dyDescent="0.2">
      <c r="A33" s="36" t="s">
        <v>17</v>
      </c>
      <c r="B33" s="37" t="s">
        <v>18</v>
      </c>
      <c r="C33" s="16"/>
      <c r="D33" s="16"/>
      <c r="E33" s="10"/>
      <c r="F33" s="10"/>
      <c r="I33" s="47"/>
    </row>
    <row r="34" spans="1:10" s="46" customFormat="1" ht="15" x14ac:dyDescent="0.2">
      <c r="A34" s="36" t="s">
        <v>89</v>
      </c>
      <c r="B34" s="37" t="s">
        <v>15</v>
      </c>
      <c r="C34" s="16"/>
      <c r="D34" s="16"/>
      <c r="E34" s="10"/>
      <c r="F34" s="10"/>
      <c r="I34" s="47"/>
    </row>
    <row r="35" spans="1:10" s="46" customFormat="1" ht="15" x14ac:dyDescent="0.2">
      <c r="A35" s="36" t="s">
        <v>90</v>
      </c>
      <c r="B35" s="37" t="s">
        <v>15</v>
      </c>
      <c r="C35" s="16"/>
      <c r="D35" s="16"/>
      <c r="E35" s="10"/>
      <c r="F35" s="10"/>
      <c r="I35" s="47"/>
    </row>
    <row r="36" spans="1:10" s="46" customFormat="1" ht="25.5" x14ac:dyDescent="0.2">
      <c r="A36" s="36" t="s">
        <v>91</v>
      </c>
      <c r="B36" s="37" t="s">
        <v>19</v>
      </c>
      <c r="C36" s="16"/>
      <c r="D36" s="16"/>
      <c r="E36" s="10"/>
      <c r="F36" s="10"/>
      <c r="I36" s="47"/>
    </row>
    <row r="37" spans="1:10" s="46" customFormat="1" ht="25.5" x14ac:dyDescent="0.2">
      <c r="A37" s="36" t="s">
        <v>92</v>
      </c>
      <c r="B37" s="37" t="s">
        <v>18</v>
      </c>
      <c r="C37" s="16"/>
      <c r="D37" s="16"/>
      <c r="E37" s="10"/>
      <c r="F37" s="10"/>
      <c r="I37" s="47"/>
    </row>
    <row r="38" spans="1:10" s="46" customFormat="1" ht="25.5" x14ac:dyDescent="0.2">
      <c r="A38" s="36" t="s">
        <v>93</v>
      </c>
      <c r="B38" s="37" t="s">
        <v>15</v>
      </c>
      <c r="C38" s="16"/>
      <c r="D38" s="16"/>
      <c r="E38" s="10"/>
      <c r="F38" s="10"/>
      <c r="I38" s="47"/>
    </row>
    <row r="39" spans="1:10" s="67" customFormat="1" ht="21" customHeight="1" x14ac:dyDescent="0.2">
      <c r="A39" s="17" t="s">
        <v>20</v>
      </c>
      <c r="B39" s="9" t="s">
        <v>21</v>
      </c>
      <c r="C39" s="16" t="s">
        <v>141</v>
      </c>
      <c r="D39" s="16">
        <f>E39*G39</f>
        <v>27689.040000000001</v>
      </c>
      <c r="E39" s="10">
        <f>F39*12</f>
        <v>10.8</v>
      </c>
      <c r="F39" s="10">
        <v>0.9</v>
      </c>
      <c r="G39" s="46">
        <v>2563.8000000000002</v>
      </c>
      <c r="H39" s="46">
        <v>1.07</v>
      </c>
      <c r="I39" s="47">
        <v>0.6</v>
      </c>
      <c r="J39" s="67">
        <v>3044.9</v>
      </c>
    </row>
    <row r="40" spans="1:10" s="46" customFormat="1" ht="15" x14ac:dyDescent="0.2">
      <c r="A40" s="17" t="s">
        <v>22</v>
      </c>
      <c r="B40" s="9" t="s">
        <v>23</v>
      </c>
      <c r="C40" s="16"/>
      <c r="D40" s="16">
        <f>E40*G40</f>
        <v>90143.21</v>
      </c>
      <c r="E40" s="10">
        <f>F40*12</f>
        <v>35.159999999999997</v>
      </c>
      <c r="F40" s="10">
        <v>2.93</v>
      </c>
      <c r="G40" s="46">
        <v>2563.8000000000002</v>
      </c>
      <c r="H40" s="46">
        <v>1.07</v>
      </c>
      <c r="I40" s="47">
        <v>1.94</v>
      </c>
      <c r="J40" s="46">
        <v>3044.9</v>
      </c>
    </row>
    <row r="41" spans="1:10" s="46" customFormat="1" ht="15" x14ac:dyDescent="0.2">
      <c r="A41" s="17" t="s">
        <v>136</v>
      </c>
      <c r="B41" s="9" t="s">
        <v>15</v>
      </c>
      <c r="C41" s="16" t="s">
        <v>133</v>
      </c>
      <c r="D41" s="16">
        <f>E41*G41</f>
        <v>55993.39</v>
      </c>
      <c r="E41" s="10">
        <f>F41*12</f>
        <v>21.84</v>
      </c>
      <c r="F41" s="10">
        <v>1.82</v>
      </c>
      <c r="G41" s="46">
        <v>2563.8000000000002</v>
      </c>
      <c r="H41" s="46">
        <v>1.07</v>
      </c>
      <c r="I41" s="47">
        <v>1.21</v>
      </c>
    </row>
    <row r="42" spans="1:10" s="46" customFormat="1" ht="45" x14ac:dyDescent="0.2">
      <c r="A42" s="17" t="s">
        <v>25</v>
      </c>
      <c r="B42" s="9" t="s">
        <v>184</v>
      </c>
      <c r="C42" s="16" t="s">
        <v>133</v>
      </c>
      <c r="D42" s="16">
        <f>3407.5*1*1.105*1.1*1.086</f>
        <v>4498.01</v>
      </c>
      <c r="E42" s="10">
        <f>D42/G42</f>
        <v>1.75</v>
      </c>
      <c r="F42" s="10">
        <f>E42/12</f>
        <v>0.15</v>
      </c>
      <c r="G42" s="46">
        <v>2563.8000000000002</v>
      </c>
      <c r="I42" s="47"/>
    </row>
    <row r="43" spans="1:10" s="46" customFormat="1" ht="20.25" customHeight="1" x14ac:dyDescent="0.2">
      <c r="A43" s="17" t="s">
        <v>94</v>
      </c>
      <c r="B43" s="9" t="s">
        <v>15</v>
      </c>
      <c r="C43" s="16" t="s">
        <v>171</v>
      </c>
      <c r="D43" s="16">
        <f>E43*G43</f>
        <v>65223.07</v>
      </c>
      <c r="E43" s="10">
        <f>F43*12</f>
        <v>25.44</v>
      </c>
      <c r="F43" s="10">
        <v>2.12</v>
      </c>
      <c r="G43" s="46">
        <v>2563.8000000000002</v>
      </c>
      <c r="H43" s="46">
        <v>1.07</v>
      </c>
      <c r="I43" s="47">
        <v>1.4</v>
      </c>
    </row>
    <row r="44" spans="1:10" s="46" customFormat="1" ht="15" x14ac:dyDescent="0.2">
      <c r="A44" s="36" t="s">
        <v>95</v>
      </c>
      <c r="B44" s="37" t="s">
        <v>27</v>
      </c>
      <c r="C44" s="16"/>
      <c r="D44" s="16"/>
      <c r="E44" s="10"/>
      <c r="F44" s="10"/>
      <c r="H44" s="46">
        <v>1.07</v>
      </c>
      <c r="I44" s="47">
        <v>0</v>
      </c>
    </row>
    <row r="45" spans="1:10" s="46" customFormat="1" ht="15" x14ac:dyDescent="0.2">
      <c r="A45" s="36" t="s">
        <v>96</v>
      </c>
      <c r="B45" s="37" t="s">
        <v>26</v>
      </c>
      <c r="C45" s="16"/>
      <c r="D45" s="16"/>
      <c r="E45" s="10"/>
      <c r="F45" s="10"/>
      <c r="H45" s="46">
        <v>1.07</v>
      </c>
      <c r="I45" s="47">
        <v>0</v>
      </c>
    </row>
    <row r="46" spans="1:10" s="46" customFormat="1" ht="15" x14ac:dyDescent="0.2">
      <c r="A46" s="36" t="s">
        <v>97</v>
      </c>
      <c r="B46" s="37" t="s">
        <v>24</v>
      </c>
      <c r="C46" s="16"/>
      <c r="D46" s="16"/>
      <c r="E46" s="10"/>
      <c r="F46" s="10"/>
      <c r="H46" s="46">
        <v>1.07</v>
      </c>
      <c r="I46" s="47">
        <v>0</v>
      </c>
    </row>
    <row r="47" spans="1:10" s="46" customFormat="1" ht="15" x14ac:dyDescent="0.2">
      <c r="A47" s="36" t="s">
        <v>98</v>
      </c>
      <c r="B47" s="37" t="s">
        <v>99</v>
      </c>
      <c r="C47" s="16"/>
      <c r="D47" s="16"/>
      <c r="E47" s="10"/>
      <c r="F47" s="10"/>
      <c r="H47" s="46">
        <v>1.07</v>
      </c>
      <c r="I47" s="47">
        <v>0</v>
      </c>
    </row>
    <row r="48" spans="1:10" s="46" customFormat="1" ht="15" x14ac:dyDescent="0.2">
      <c r="A48" s="36" t="s">
        <v>100</v>
      </c>
      <c r="B48" s="37" t="s">
        <v>24</v>
      </c>
      <c r="C48" s="16"/>
      <c r="D48" s="16"/>
      <c r="E48" s="10"/>
      <c r="F48" s="10"/>
      <c r="I48" s="47"/>
    </row>
    <row r="49" spans="1:10" s="46" customFormat="1" ht="28.5" x14ac:dyDescent="0.2">
      <c r="A49" s="17" t="s">
        <v>28</v>
      </c>
      <c r="B49" s="164" t="s">
        <v>29</v>
      </c>
      <c r="C49" s="16" t="s">
        <v>134</v>
      </c>
      <c r="D49" s="16">
        <f>(127677.24*1.086)+1000</f>
        <v>139657.48000000001</v>
      </c>
      <c r="E49" s="10">
        <f>D49/G49</f>
        <v>54.47</v>
      </c>
      <c r="F49" s="10">
        <f>E49/12</f>
        <v>4.54</v>
      </c>
      <c r="G49" s="46">
        <v>2563.8000000000002</v>
      </c>
      <c r="H49" s="46">
        <v>1.07</v>
      </c>
      <c r="I49" s="47">
        <v>2.99</v>
      </c>
    </row>
    <row r="50" spans="1:10" s="46" customFormat="1" ht="25.5" x14ac:dyDescent="0.2">
      <c r="A50" s="31" t="s">
        <v>101</v>
      </c>
      <c r="B50" s="165" t="s">
        <v>29</v>
      </c>
      <c r="C50" s="16"/>
      <c r="D50" s="16"/>
      <c r="E50" s="10"/>
      <c r="F50" s="10"/>
      <c r="I50" s="47"/>
    </row>
    <row r="51" spans="1:10" s="46" customFormat="1" ht="15" x14ac:dyDescent="0.2">
      <c r="A51" s="31" t="s">
        <v>102</v>
      </c>
      <c r="B51" s="165" t="s">
        <v>103</v>
      </c>
      <c r="C51" s="16"/>
      <c r="D51" s="16"/>
      <c r="E51" s="10"/>
      <c r="F51" s="10"/>
      <c r="I51" s="47"/>
    </row>
    <row r="52" spans="1:10" s="46" customFormat="1" ht="15" x14ac:dyDescent="0.2">
      <c r="A52" s="31" t="s">
        <v>104</v>
      </c>
      <c r="B52" s="165" t="s">
        <v>12</v>
      </c>
      <c r="C52" s="16"/>
      <c r="D52" s="16"/>
      <c r="E52" s="10"/>
      <c r="F52" s="10"/>
      <c r="I52" s="47"/>
    </row>
    <row r="53" spans="1:10" s="53" customFormat="1" ht="25.5" x14ac:dyDescent="0.2">
      <c r="A53" s="31" t="s">
        <v>105</v>
      </c>
      <c r="B53" s="165" t="s">
        <v>26</v>
      </c>
      <c r="C53" s="16"/>
      <c r="D53" s="16"/>
      <c r="E53" s="10"/>
      <c r="F53" s="10"/>
      <c r="G53" s="46"/>
      <c r="H53" s="46"/>
      <c r="I53" s="47"/>
    </row>
    <row r="54" spans="1:10" s="53" customFormat="1" ht="23.25" customHeight="1" x14ac:dyDescent="0.2">
      <c r="A54" s="31" t="s">
        <v>165</v>
      </c>
      <c r="B54" s="165" t="s">
        <v>26</v>
      </c>
      <c r="C54" s="15" t="s">
        <v>134</v>
      </c>
      <c r="D54" s="15"/>
      <c r="E54" s="14"/>
      <c r="F54" s="14"/>
      <c r="G54" s="46">
        <v>2563.8000000000002</v>
      </c>
      <c r="H54" s="46"/>
      <c r="I54" s="47"/>
    </row>
    <row r="55" spans="1:10" s="53" customFormat="1" ht="30.75" customHeight="1" x14ac:dyDescent="0.2">
      <c r="A55" s="17" t="s">
        <v>106</v>
      </c>
      <c r="B55" s="9" t="s">
        <v>10</v>
      </c>
      <c r="C55" s="16" t="s">
        <v>135</v>
      </c>
      <c r="D55" s="16">
        <f>2439.99*G55/J55</f>
        <v>2054.4699999999998</v>
      </c>
      <c r="E55" s="10">
        <f>D55/G55</f>
        <v>0.8</v>
      </c>
      <c r="F55" s="10">
        <f t="shared" ref="F55:F57" si="0">E55/12</f>
        <v>7.0000000000000007E-2</v>
      </c>
      <c r="G55" s="46">
        <v>2563.8000000000002</v>
      </c>
      <c r="H55" s="46">
        <v>1.07</v>
      </c>
      <c r="I55" s="47">
        <v>0.04</v>
      </c>
      <c r="J55" s="53">
        <v>3044.9</v>
      </c>
    </row>
    <row r="56" spans="1:10" s="53" customFormat="1" ht="30" x14ac:dyDescent="0.2">
      <c r="A56" s="17" t="s">
        <v>107</v>
      </c>
      <c r="B56" s="9" t="s">
        <v>10</v>
      </c>
      <c r="C56" s="16" t="s">
        <v>135</v>
      </c>
      <c r="D56" s="16">
        <f>15405.72*G56/J56</f>
        <v>12971.59</v>
      </c>
      <c r="E56" s="10">
        <f>D56/G56</f>
        <v>5.0599999999999996</v>
      </c>
      <c r="F56" s="10">
        <f t="shared" si="0"/>
        <v>0.42</v>
      </c>
      <c r="G56" s="46">
        <v>2563.8000000000002</v>
      </c>
      <c r="H56" s="46">
        <v>1.07</v>
      </c>
      <c r="I56" s="47">
        <v>0</v>
      </c>
      <c r="J56" s="53">
        <v>3044.9</v>
      </c>
    </row>
    <row r="57" spans="1:10" s="53" customFormat="1" ht="22.5" customHeight="1" x14ac:dyDescent="0.2">
      <c r="A57" s="17" t="s">
        <v>167</v>
      </c>
      <c r="B57" s="9" t="s">
        <v>48</v>
      </c>
      <c r="C57" s="16" t="s">
        <v>135</v>
      </c>
      <c r="D57" s="16">
        <f>15405.68*G57/J57</f>
        <v>12971.55</v>
      </c>
      <c r="E57" s="10">
        <f>D57/G57</f>
        <v>5.0599999999999996</v>
      </c>
      <c r="F57" s="10">
        <f t="shared" si="0"/>
        <v>0.42</v>
      </c>
      <c r="G57" s="46">
        <v>2563.8000000000002</v>
      </c>
      <c r="H57" s="46"/>
      <c r="I57" s="47"/>
      <c r="J57" s="53">
        <v>3044.9</v>
      </c>
    </row>
    <row r="58" spans="1:10" s="53" customFormat="1" ht="30" x14ac:dyDescent="0.2">
      <c r="A58" s="17" t="s">
        <v>30</v>
      </c>
      <c r="B58" s="9"/>
      <c r="C58" s="16" t="s">
        <v>172</v>
      </c>
      <c r="D58" s="16">
        <f>E58*G58</f>
        <v>6768.43</v>
      </c>
      <c r="E58" s="10">
        <f>12*F58</f>
        <v>2.64</v>
      </c>
      <c r="F58" s="10">
        <v>0.22</v>
      </c>
      <c r="G58" s="46">
        <v>2563.8000000000002</v>
      </c>
      <c r="H58" s="46"/>
      <c r="I58" s="47"/>
    </row>
    <row r="59" spans="1:10" s="53" customFormat="1" ht="33.75" customHeight="1" x14ac:dyDescent="0.2">
      <c r="A59" s="31" t="s">
        <v>108</v>
      </c>
      <c r="B59" s="26" t="s">
        <v>71</v>
      </c>
      <c r="C59" s="16"/>
      <c r="D59" s="16"/>
      <c r="E59" s="10"/>
      <c r="F59" s="10"/>
      <c r="G59" s="46"/>
      <c r="H59" s="46"/>
      <c r="I59" s="47"/>
    </row>
    <row r="60" spans="1:10" s="53" customFormat="1" ht="24" customHeight="1" x14ac:dyDescent="0.2">
      <c r="A60" s="31" t="s">
        <v>109</v>
      </c>
      <c r="B60" s="26" t="s">
        <v>71</v>
      </c>
      <c r="C60" s="16"/>
      <c r="D60" s="16"/>
      <c r="E60" s="10"/>
      <c r="F60" s="10"/>
      <c r="G60" s="46"/>
      <c r="H60" s="46"/>
      <c r="I60" s="47"/>
    </row>
    <row r="61" spans="1:10" s="53" customFormat="1" ht="15" x14ac:dyDescent="0.2">
      <c r="A61" s="31" t="s">
        <v>110</v>
      </c>
      <c r="B61" s="26" t="s">
        <v>12</v>
      </c>
      <c r="C61" s="16"/>
      <c r="D61" s="16"/>
      <c r="E61" s="10"/>
      <c r="F61" s="10"/>
      <c r="G61" s="46"/>
      <c r="H61" s="46"/>
      <c r="I61" s="47"/>
    </row>
    <row r="62" spans="1:10" s="53" customFormat="1" ht="15" x14ac:dyDescent="0.2">
      <c r="A62" s="31" t="s">
        <v>111</v>
      </c>
      <c r="B62" s="26" t="s">
        <v>71</v>
      </c>
      <c r="C62" s="16"/>
      <c r="D62" s="16"/>
      <c r="E62" s="10"/>
      <c r="F62" s="10"/>
      <c r="G62" s="46"/>
      <c r="H62" s="46"/>
      <c r="I62" s="47"/>
    </row>
    <row r="63" spans="1:10" s="53" customFormat="1" ht="25.5" x14ac:dyDescent="0.2">
      <c r="A63" s="31" t="s">
        <v>112</v>
      </c>
      <c r="B63" s="26" t="s">
        <v>71</v>
      </c>
      <c r="C63" s="16"/>
      <c r="D63" s="16"/>
      <c r="E63" s="10"/>
      <c r="F63" s="10"/>
      <c r="G63" s="46"/>
      <c r="H63" s="46"/>
      <c r="I63" s="47"/>
    </row>
    <row r="64" spans="1:10" s="53" customFormat="1" ht="15" x14ac:dyDescent="0.2">
      <c r="A64" s="31" t="s">
        <v>113</v>
      </c>
      <c r="B64" s="26" t="s">
        <v>71</v>
      </c>
      <c r="C64" s="16"/>
      <c r="D64" s="16"/>
      <c r="E64" s="10"/>
      <c r="F64" s="10"/>
      <c r="G64" s="46"/>
      <c r="H64" s="46"/>
      <c r="I64" s="47"/>
    </row>
    <row r="65" spans="1:10" s="53" customFormat="1" ht="25.5" x14ac:dyDescent="0.2">
      <c r="A65" s="31" t="s">
        <v>114</v>
      </c>
      <c r="B65" s="26" t="s">
        <v>71</v>
      </c>
      <c r="C65" s="16"/>
      <c r="D65" s="16"/>
      <c r="E65" s="10"/>
      <c r="F65" s="10"/>
      <c r="G65" s="46"/>
      <c r="H65" s="46"/>
      <c r="I65" s="47"/>
    </row>
    <row r="66" spans="1:10" s="53" customFormat="1" ht="15" x14ac:dyDescent="0.2">
      <c r="A66" s="31" t="s">
        <v>115</v>
      </c>
      <c r="B66" s="26" t="s">
        <v>71</v>
      </c>
      <c r="C66" s="16"/>
      <c r="D66" s="16"/>
      <c r="E66" s="10"/>
      <c r="F66" s="10"/>
      <c r="G66" s="46"/>
      <c r="H66" s="46"/>
      <c r="I66" s="47"/>
    </row>
    <row r="67" spans="1:10" s="53" customFormat="1" ht="15" x14ac:dyDescent="0.2">
      <c r="A67" s="31" t="s">
        <v>116</v>
      </c>
      <c r="B67" s="26" t="s">
        <v>71</v>
      </c>
      <c r="C67" s="16"/>
      <c r="D67" s="16"/>
      <c r="E67" s="10"/>
      <c r="F67" s="10"/>
      <c r="G67" s="46"/>
      <c r="H67" s="46"/>
      <c r="I67" s="47"/>
    </row>
    <row r="68" spans="1:10" s="53" customFormat="1" ht="30" x14ac:dyDescent="0.2">
      <c r="A68" s="17" t="s">
        <v>162</v>
      </c>
      <c r="B68" s="26"/>
      <c r="C68" s="16"/>
      <c r="D68" s="16">
        <v>41280</v>
      </c>
      <c r="E68" s="10">
        <f>D68/G68</f>
        <v>16.100000000000001</v>
      </c>
      <c r="F68" s="10">
        <f>E68/12</f>
        <v>1.34</v>
      </c>
      <c r="G68" s="46">
        <v>2563.8000000000002</v>
      </c>
      <c r="H68" s="46"/>
      <c r="I68" s="47"/>
    </row>
    <row r="69" spans="1:10" s="46" customFormat="1" ht="15" x14ac:dyDescent="0.2">
      <c r="A69" s="17" t="s">
        <v>31</v>
      </c>
      <c r="B69" s="9" t="s">
        <v>32</v>
      </c>
      <c r="C69" s="16" t="s">
        <v>173</v>
      </c>
      <c r="D69" s="16">
        <f>E69*G69</f>
        <v>2461.25</v>
      </c>
      <c r="E69" s="10">
        <f>F69*12</f>
        <v>0.96</v>
      </c>
      <c r="F69" s="10">
        <v>0.08</v>
      </c>
      <c r="G69" s="46">
        <v>2563.8000000000002</v>
      </c>
      <c r="H69" s="46">
        <v>1.07</v>
      </c>
      <c r="I69" s="47">
        <v>0.03</v>
      </c>
      <c r="J69" s="46">
        <v>3044.9</v>
      </c>
    </row>
    <row r="70" spans="1:10" s="46" customFormat="1" ht="15" x14ac:dyDescent="0.2">
      <c r="A70" s="17" t="s">
        <v>33</v>
      </c>
      <c r="B70" s="18" t="s">
        <v>34</v>
      </c>
      <c r="C70" s="16" t="s">
        <v>173</v>
      </c>
      <c r="D70" s="16">
        <f>E70*G70</f>
        <v>1538.28</v>
      </c>
      <c r="E70" s="10">
        <f>12*F70</f>
        <v>0.6</v>
      </c>
      <c r="F70" s="10">
        <v>0.05</v>
      </c>
      <c r="G70" s="46">
        <v>2563.8000000000002</v>
      </c>
      <c r="H70" s="46">
        <v>1.07</v>
      </c>
      <c r="I70" s="47">
        <v>0.02</v>
      </c>
      <c r="J70" s="46">
        <v>3044.9</v>
      </c>
    </row>
    <row r="71" spans="1:10" s="67" customFormat="1" ht="30" x14ac:dyDescent="0.2">
      <c r="A71" s="17" t="s">
        <v>35</v>
      </c>
      <c r="B71" s="9"/>
      <c r="C71" s="16" t="s">
        <v>140</v>
      </c>
      <c r="D71" s="16">
        <f>3535*G71/J71</f>
        <v>2976.46</v>
      </c>
      <c r="E71" s="10">
        <f>D71/G71</f>
        <v>1.1599999999999999</v>
      </c>
      <c r="F71" s="10">
        <f>E71/12</f>
        <v>0.1</v>
      </c>
      <c r="G71" s="46">
        <v>2563.8000000000002</v>
      </c>
      <c r="H71" s="46">
        <v>1.07</v>
      </c>
      <c r="I71" s="47">
        <v>0.03</v>
      </c>
      <c r="J71" s="67">
        <v>3044.9</v>
      </c>
    </row>
    <row r="72" spans="1:10" s="67" customFormat="1" ht="22.5" customHeight="1" x14ac:dyDescent="0.2">
      <c r="A72" s="17" t="s">
        <v>36</v>
      </c>
      <c r="B72" s="9"/>
      <c r="C72" s="10" t="s">
        <v>174</v>
      </c>
      <c r="D72" s="10">
        <f>D73+D74+D75+D76+D77+D78+D79+D80+D81+D84+D82+D83</f>
        <v>21922.86</v>
      </c>
      <c r="E72" s="10">
        <f>D72/G72</f>
        <v>8.5500000000000007</v>
      </c>
      <c r="F72" s="10">
        <f>E72/12</f>
        <v>0.71</v>
      </c>
      <c r="G72" s="46">
        <v>2563.8000000000002</v>
      </c>
      <c r="H72" s="46">
        <v>1.07</v>
      </c>
      <c r="I72" s="47">
        <v>0.71</v>
      </c>
      <c r="J72" s="67">
        <v>3044.9</v>
      </c>
    </row>
    <row r="73" spans="1:10" s="53" customFormat="1" ht="15" x14ac:dyDescent="0.2">
      <c r="A73" s="20" t="s">
        <v>37</v>
      </c>
      <c r="B73" s="23" t="s">
        <v>26</v>
      </c>
      <c r="C73" s="29"/>
      <c r="D73" s="29">
        <f>389.23*G73/J73</f>
        <v>327.73</v>
      </c>
      <c r="E73" s="150"/>
      <c r="F73" s="150"/>
      <c r="G73" s="46">
        <v>2563.8000000000002</v>
      </c>
      <c r="H73" s="46">
        <v>1.07</v>
      </c>
      <c r="I73" s="47">
        <v>0.01</v>
      </c>
      <c r="J73" s="53">
        <v>3044.9</v>
      </c>
    </row>
    <row r="74" spans="1:10" s="53" customFormat="1" ht="15" x14ac:dyDescent="0.2">
      <c r="A74" s="20" t="s">
        <v>38</v>
      </c>
      <c r="B74" s="23" t="s">
        <v>27</v>
      </c>
      <c r="C74" s="29"/>
      <c r="D74" s="29">
        <f>1097.78*G74/J74</f>
        <v>924.33</v>
      </c>
      <c r="E74" s="150"/>
      <c r="F74" s="150"/>
      <c r="G74" s="46">
        <v>2563.8000000000002</v>
      </c>
      <c r="H74" s="46">
        <v>1.07</v>
      </c>
      <c r="I74" s="47">
        <v>0.01</v>
      </c>
      <c r="J74" s="53">
        <v>3044.9</v>
      </c>
    </row>
    <row r="75" spans="1:10" s="53" customFormat="1" ht="15" x14ac:dyDescent="0.2">
      <c r="A75" s="20" t="s">
        <v>69</v>
      </c>
      <c r="B75" s="23" t="s">
        <v>26</v>
      </c>
      <c r="C75" s="29"/>
      <c r="D75" s="29">
        <f>1956.15*G75/J75</f>
        <v>1647.07</v>
      </c>
      <c r="E75" s="150"/>
      <c r="F75" s="150"/>
      <c r="G75" s="46">
        <v>2563.8000000000002</v>
      </c>
      <c r="H75" s="46"/>
      <c r="I75" s="47"/>
      <c r="J75" s="53">
        <v>3044.9</v>
      </c>
    </row>
    <row r="76" spans="1:10" s="53" customFormat="1" ht="15" x14ac:dyDescent="0.2">
      <c r="A76" s="166" t="s">
        <v>119</v>
      </c>
      <c r="B76" s="23" t="s">
        <v>48</v>
      </c>
      <c r="C76" s="150"/>
      <c r="D76" s="150">
        <v>0</v>
      </c>
      <c r="E76" s="150"/>
      <c r="F76" s="150"/>
      <c r="G76" s="46">
        <v>2563.8000000000002</v>
      </c>
      <c r="H76" s="46">
        <v>1.07</v>
      </c>
      <c r="I76" s="47">
        <v>0.27</v>
      </c>
      <c r="J76" s="53">
        <v>3044.9</v>
      </c>
    </row>
    <row r="77" spans="1:10" s="53" customFormat="1" ht="15" x14ac:dyDescent="0.2">
      <c r="A77" s="20" t="s">
        <v>39</v>
      </c>
      <c r="B77" s="23" t="s">
        <v>26</v>
      </c>
      <c r="C77" s="29"/>
      <c r="D77" s="29">
        <f>2092*G77/J77</f>
        <v>1761.46</v>
      </c>
      <c r="E77" s="150"/>
      <c r="F77" s="150"/>
      <c r="G77" s="46">
        <v>2563.8000000000002</v>
      </c>
      <c r="H77" s="46">
        <v>1.07</v>
      </c>
      <c r="I77" s="47">
        <v>0.02</v>
      </c>
      <c r="J77" s="53">
        <v>3044.9</v>
      </c>
    </row>
    <row r="78" spans="1:10" s="53" customFormat="1" ht="15" x14ac:dyDescent="0.2">
      <c r="A78" s="20" t="s">
        <v>40</v>
      </c>
      <c r="B78" s="23" t="s">
        <v>26</v>
      </c>
      <c r="C78" s="29"/>
      <c r="D78" s="29">
        <f>6995.08*G78/J78</f>
        <v>5889.84</v>
      </c>
      <c r="E78" s="150"/>
      <c r="F78" s="150"/>
      <c r="G78" s="46">
        <v>2563.8000000000002</v>
      </c>
      <c r="H78" s="46">
        <v>1.07</v>
      </c>
      <c r="I78" s="47">
        <v>0.1</v>
      </c>
      <c r="J78" s="53">
        <v>3044.9</v>
      </c>
    </row>
    <row r="79" spans="1:10" s="53" customFormat="1" ht="15" x14ac:dyDescent="0.2">
      <c r="A79" s="20" t="s">
        <v>70</v>
      </c>
      <c r="B79" s="23" t="s">
        <v>26</v>
      </c>
      <c r="C79" s="29"/>
      <c r="D79" s="29">
        <f>1097.78*G79/J79</f>
        <v>924.33</v>
      </c>
      <c r="E79" s="150"/>
      <c r="F79" s="150"/>
      <c r="G79" s="46">
        <v>2563.8000000000002</v>
      </c>
      <c r="H79" s="46">
        <v>1.07</v>
      </c>
      <c r="I79" s="47">
        <v>0.02</v>
      </c>
      <c r="J79" s="53">
        <v>3044.9</v>
      </c>
    </row>
    <row r="80" spans="1:10" s="53" customFormat="1" ht="15" x14ac:dyDescent="0.2">
      <c r="A80" s="20" t="s">
        <v>41</v>
      </c>
      <c r="B80" s="23" t="s">
        <v>26</v>
      </c>
      <c r="C80" s="29"/>
      <c r="D80" s="29">
        <f>1045.98*G80/J80</f>
        <v>880.71</v>
      </c>
      <c r="E80" s="150"/>
      <c r="F80" s="150"/>
      <c r="G80" s="46">
        <v>2563.8000000000002</v>
      </c>
      <c r="H80" s="46">
        <v>1.07</v>
      </c>
      <c r="I80" s="47">
        <v>0.01</v>
      </c>
      <c r="J80" s="53">
        <v>3044.9</v>
      </c>
    </row>
    <row r="81" spans="1:10" s="53" customFormat="1" ht="15" x14ac:dyDescent="0.2">
      <c r="A81" s="20" t="s">
        <v>42</v>
      </c>
      <c r="B81" s="23" t="s">
        <v>27</v>
      </c>
      <c r="C81" s="29"/>
      <c r="D81" s="29">
        <v>0</v>
      </c>
      <c r="E81" s="150"/>
      <c r="F81" s="150"/>
      <c r="G81" s="46">
        <v>2563.8000000000002</v>
      </c>
      <c r="H81" s="46">
        <v>1.07</v>
      </c>
      <c r="I81" s="47">
        <v>0.04</v>
      </c>
      <c r="J81" s="53">
        <v>3044.9</v>
      </c>
    </row>
    <row r="82" spans="1:10" s="53" customFormat="1" ht="25.5" x14ac:dyDescent="0.2">
      <c r="A82" s="20" t="s">
        <v>43</v>
      </c>
      <c r="B82" s="23" t="s">
        <v>26</v>
      </c>
      <c r="C82" s="29"/>
      <c r="D82" s="29">
        <f>3452.6*G82/J82</f>
        <v>2907.08</v>
      </c>
      <c r="E82" s="150"/>
      <c r="F82" s="150"/>
      <c r="G82" s="46">
        <v>2563.8000000000002</v>
      </c>
      <c r="H82" s="46">
        <v>1.07</v>
      </c>
      <c r="I82" s="47">
        <v>0.06</v>
      </c>
      <c r="J82" s="53">
        <v>3044.9</v>
      </c>
    </row>
    <row r="83" spans="1:10" s="53" customFormat="1" ht="30" customHeight="1" x14ac:dyDescent="0.2">
      <c r="A83" s="20" t="s">
        <v>163</v>
      </c>
      <c r="B83" s="23" t="s">
        <v>26</v>
      </c>
      <c r="C83" s="29"/>
      <c r="D83" s="29">
        <f>674.01*G83/J83</f>
        <v>567.52</v>
      </c>
      <c r="E83" s="150"/>
      <c r="F83" s="150"/>
      <c r="G83" s="46">
        <v>2563.8000000000002</v>
      </c>
      <c r="H83" s="46"/>
      <c r="I83" s="47"/>
      <c r="J83" s="53">
        <v>3044.9</v>
      </c>
    </row>
    <row r="84" spans="1:10" s="53" customFormat="1" ht="22.5" customHeight="1" x14ac:dyDescent="0.2">
      <c r="A84" s="20" t="s">
        <v>44</v>
      </c>
      <c r="B84" s="23" t="s">
        <v>26</v>
      </c>
      <c r="C84" s="29"/>
      <c r="D84" s="29">
        <f>7236.11*G84/J84</f>
        <v>6092.79</v>
      </c>
      <c r="E84" s="150"/>
      <c r="F84" s="150"/>
      <c r="G84" s="46">
        <v>2563.8000000000002</v>
      </c>
      <c r="H84" s="46">
        <v>1.07</v>
      </c>
      <c r="I84" s="47">
        <v>0.01</v>
      </c>
      <c r="J84" s="53">
        <v>3044.9</v>
      </c>
    </row>
    <row r="85" spans="1:10" s="53" customFormat="1" ht="25.5" x14ac:dyDescent="0.2">
      <c r="A85" s="20" t="s">
        <v>117</v>
      </c>
      <c r="B85" s="23" t="s">
        <v>118</v>
      </c>
      <c r="C85" s="38"/>
      <c r="D85" s="29">
        <v>0</v>
      </c>
      <c r="E85" s="150"/>
      <c r="F85" s="150"/>
      <c r="G85" s="46">
        <v>2563.8000000000002</v>
      </c>
      <c r="H85" s="46"/>
      <c r="I85" s="47"/>
      <c r="J85" s="53">
        <v>3044.9</v>
      </c>
    </row>
    <row r="86" spans="1:10" s="53" customFormat="1" ht="15" x14ac:dyDescent="0.2">
      <c r="A86" s="20" t="s">
        <v>120</v>
      </c>
      <c r="B86" s="23" t="s">
        <v>26</v>
      </c>
      <c r="C86" s="29"/>
      <c r="D86" s="29">
        <v>0</v>
      </c>
      <c r="E86" s="150"/>
      <c r="F86" s="150"/>
      <c r="G86" s="46">
        <v>2563.8000000000002</v>
      </c>
      <c r="H86" s="46"/>
      <c r="I86" s="47"/>
      <c r="J86" s="53">
        <v>3044.9</v>
      </c>
    </row>
    <row r="87" spans="1:10" s="67" customFormat="1" ht="30" x14ac:dyDescent="0.2">
      <c r="A87" s="17" t="s">
        <v>45</v>
      </c>
      <c r="B87" s="9"/>
      <c r="C87" s="10" t="s">
        <v>175</v>
      </c>
      <c r="D87" s="10">
        <f>D88+D89+D90+D91+D92+D93</f>
        <v>27856.65</v>
      </c>
      <c r="E87" s="10">
        <f>D87/G87</f>
        <v>10.87</v>
      </c>
      <c r="F87" s="10">
        <f>E87/12</f>
        <v>0.91</v>
      </c>
      <c r="G87" s="46">
        <v>2563.8000000000002</v>
      </c>
      <c r="H87" s="46">
        <v>1.07</v>
      </c>
      <c r="I87" s="47">
        <v>0.85</v>
      </c>
      <c r="J87" s="67">
        <v>3044.9</v>
      </c>
    </row>
    <row r="88" spans="1:10" s="53" customFormat="1" ht="25.5" x14ac:dyDescent="0.2">
      <c r="A88" s="20" t="s">
        <v>121</v>
      </c>
      <c r="B88" s="23" t="s">
        <v>27</v>
      </c>
      <c r="C88" s="29"/>
      <c r="D88" s="29">
        <f>25643.5*G88/J88</f>
        <v>21591.78</v>
      </c>
      <c r="E88" s="150"/>
      <c r="F88" s="150"/>
      <c r="G88" s="46">
        <v>2563.8000000000002</v>
      </c>
      <c r="H88" s="46">
        <v>3044.9</v>
      </c>
      <c r="I88" s="46">
        <v>3044.9</v>
      </c>
      <c r="J88" s="53">
        <v>3044.9</v>
      </c>
    </row>
    <row r="89" spans="1:10" s="53" customFormat="1" ht="25.5" x14ac:dyDescent="0.2">
      <c r="A89" s="20" t="s">
        <v>46</v>
      </c>
      <c r="B89" s="23" t="s">
        <v>47</v>
      </c>
      <c r="C89" s="29"/>
      <c r="D89" s="29">
        <v>0</v>
      </c>
      <c r="E89" s="150"/>
      <c r="F89" s="150"/>
      <c r="G89" s="46">
        <v>2563.8000000000002</v>
      </c>
      <c r="H89" s="46">
        <v>1.07</v>
      </c>
      <c r="I89" s="47">
        <v>0.04</v>
      </c>
      <c r="J89" s="53">
        <v>3044.9</v>
      </c>
    </row>
    <row r="90" spans="1:10" s="53" customFormat="1" ht="21" customHeight="1" x14ac:dyDescent="0.2">
      <c r="A90" s="20" t="s">
        <v>49</v>
      </c>
      <c r="B90" s="23" t="s">
        <v>10</v>
      </c>
      <c r="C90" s="38"/>
      <c r="D90" s="29">
        <f>7440.48*G90/J90</f>
        <v>6264.87</v>
      </c>
      <c r="E90" s="150"/>
      <c r="F90" s="150"/>
      <c r="G90" s="46">
        <v>2563.8000000000002</v>
      </c>
      <c r="H90" s="46">
        <v>1.07</v>
      </c>
      <c r="I90" s="47">
        <v>0.14000000000000001</v>
      </c>
      <c r="J90" s="53">
        <v>3044.9</v>
      </c>
    </row>
    <row r="91" spans="1:10" s="83" customFormat="1" ht="25.5" x14ac:dyDescent="0.2">
      <c r="A91" s="20" t="s">
        <v>117</v>
      </c>
      <c r="B91" s="23" t="s">
        <v>118</v>
      </c>
      <c r="C91" s="38"/>
      <c r="D91" s="38">
        <v>0</v>
      </c>
      <c r="E91" s="167"/>
      <c r="F91" s="167"/>
      <c r="G91" s="46">
        <v>2563.8000000000002</v>
      </c>
      <c r="H91" s="46"/>
      <c r="I91" s="47"/>
      <c r="J91" s="83">
        <v>3044.9</v>
      </c>
    </row>
    <row r="92" spans="1:10" s="83" customFormat="1" ht="20.25" customHeight="1" x14ac:dyDescent="0.2">
      <c r="A92" s="20" t="s">
        <v>122</v>
      </c>
      <c r="B92" s="23" t="s">
        <v>26</v>
      </c>
      <c r="C92" s="38"/>
      <c r="D92" s="38">
        <v>0</v>
      </c>
      <c r="E92" s="167"/>
      <c r="F92" s="167"/>
      <c r="G92" s="46">
        <v>2563.8000000000002</v>
      </c>
      <c r="H92" s="46"/>
      <c r="I92" s="47"/>
      <c r="J92" s="83">
        <v>3044.9</v>
      </c>
    </row>
    <row r="93" spans="1:10" s="83" customFormat="1" ht="19.5" customHeight="1" x14ac:dyDescent="0.2">
      <c r="A93" s="166" t="s">
        <v>123</v>
      </c>
      <c r="B93" s="23" t="s">
        <v>48</v>
      </c>
      <c r="C93" s="38"/>
      <c r="D93" s="38">
        <v>0</v>
      </c>
      <c r="E93" s="167"/>
      <c r="F93" s="167"/>
      <c r="G93" s="46">
        <v>2563.8000000000002</v>
      </c>
      <c r="H93" s="46"/>
      <c r="I93" s="47"/>
      <c r="J93" s="83">
        <v>3044.9</v>
      </c>
    </row>
    <row r="94" spans="1:10" s="53" customFormat="1" ht="30" x14ac:dyDescent="0.2">
      <c r="A94" s="17" t="s">
        <v>50</v>
      </c>
      <c r="B94" s="23"/>
      <c r="C94" s="10" t="s">
        <v>176</v>
      </c>
      <c r="D94" s="10">
        <f>D95</f>
        <v>0</v>
      </c>
      <c r="E94" s="10">
        <f>D94/G94</f>
        <v>0</v>
      </c>
      <c r="F94" s="10">
        <f>E94/12</f>
        <v>0</v>
      </c>
      <c r="G94" s="46">
        <v>2563.8000000000002</v>
      </c>
      <c r="H94" s="46">
        <v>1.07</v>
      </c>
      <c r="I94" s="47">
        <v>0.41</v>
      </c>
      <c r="J94" s="53">
        <v>3044.9</v>
      </c>
    </row>
    <row r="95" spans="1:10" s="53" customFormat="1" ht="21" customHeight="1" x14ac:dyDescent="0.2">
      <c r="A95" s="20" t="s">
        <v>51</v>
      </c>
      <c r="B95" s="23" t="s">
        <v>48</v>
      </c>
      <c r="C95" s="29"/>
      <c r="D95" s="29">
        <v>0</v>
      </c>
      <c r="E95" s="150"/>
      <c r="F95" s="150"/>
      <c r="G95" s="46">
        <v>2563.8000000000002</v>
      </c>
      <c r="H95" s="46">
        <v>1.07</v>
      </c>
      <c r="I95" s="47">
        <v>0.27</v>
      </c>
      <c r="J95" s="53">
        <v>3044.9</v>
      </c>
    </row>
    <row r="96" spans="1:10" s="53" customFormat="1" ht="25.5" x14ac:dyDescent="0.2">
      <c r="A96" s="20" t="s">
        <v>117</v>
      </c>
      <c r="B96" s="23" t="s">
        <v>118</v>
      </c>
      <c r="C96" s="38"/>
      <c r="D96" s="38">
        <v>0</v>
      </c>
      <c r="E96" s="167"/>
      <c r="F96" s="167"/>
      <c r="G96" s="46">
        <v>2563.8000000000002</v>
      </c>
      <c r="H96" s="46"/>
      <c r="I96" s="47"/>
      <c r="J96" s="53">
        <v>3044.9</v>
      </c>
    </row>
    <row r="97" spans="1:10" s="53" customFormat="1" ht="15" x14ac:dyDescent="0.2">
      <c r="A97" s="20" t="s">
        <v>124</v>
      </c>
      <c r="B97" s="23" t="s">
        <v>26</v>
      </c>
      <c r="C97" s="38"/>
      <c r="D97" s="38">
        <v>0</v>
      </c>
      <c r="E97" s="167"/>
      <c r="F97" s="167"/>
      <c r="G97" s="46">
        <v>2563.8000000000002</v>
      </c>
      <c r="H97" s="46"/>
      <c r="I97" s="47"/>
      <c r="J97" s="53">
        <v>3044.9</v>
      </c>
    </row>
    <row r="98" spans="1:10" s="53" customFormat="1" ht="15" x14ac:dyDescent="0.2">
      <c r="A98" s="166" t="s">
        <v>125</v>
      </c>
      <c r="B98" s="23" t="s">
        <v>48</v>
      </c>
      <c r="C98" s="38"/>
      <c r="D98" s="38">
        <v>0</v>
      </c>
      <c r="E98" s="167"/>
      <c r="F98" s="167"/>
      <c r="G98" s="46">
        <v>2563.8000000000002</v>
      </c>
      <c r="H98" s="46"/>
      <c r="I98" s="47"/>
      <c r="J98" s="53">
        <v>3044.9</v>
      </c>
    </row>
    <row r="99" spans="1:10" s="53" customFormat="1" ht="17.25" customHeight="1" x14ac:dyDescent="0.2">
      <c r="A99" s="17" t="s">
        <v>126</v>
      </c>
      <c r="B99" s="23"/>
      <c r="C99" s="10" t="s">
        <v>179</v>
      </c>
      <c r="D99" s="10">
        <f>D100+D101+D102+D103+D104+D105+D106</f>
        <v>8625.59</v>
      </c>
      <c r="E99" s="10">
        <f>D99/G99</f>
        <v>3.36</v>
      </c>
      <c r="F99" s="10">
        <f>E99/12</f>
        <v>0.28000000000000003</v>
      </c>
      <c r="G99" s="46">
        <v>2563.8000000000002</v>
      </c>
      <c r="H99" s="46">
        <v>1.07</v>
      </c>
      <c r="I99" s="47">
        <v>0.18</v>
      </c>
      <c r="J99" s="53">
        <v>3044.9</v>
      </c>
    </row>
    <row r="100" spans="1:10" s="53" customFormat="1" ht="23.25" customHeight="1" x14ac:dyDescent="0.2">
      <c r="A100" s="20" t="s">
        <v>52</v>
      </c>
      <c r="B100" s="23" t="s">
        <v>10</v>
      </c>
      <c r="C100" s="29"/>
      <c r="D100" s="29">
        <f t="shared" ref="D100:D105" si="1">E100*G100</f>
        <v>0</v>
      </c>
      <c r="E100" s="150"/>
      <c r="F100" s="150"/>
      <c r="G100" s="46">
        <v>2563.8000000000002</v>
      </c>
      <c r="H100" s="46">
        <v>1.07</v>
      </c>
      <c r="I100" s="47">
        <v>0</v>
      </c>
    </row>
    <row r="101" spans="1:10" s="53" customFormat="1" ht="45" customHeight="1" x14ac:dyDescent="0.2">
      <c r="A101" s="20" t="s">
        <v>127</v>
      </c>
      <c r="B101" s="23" t="s">
        <v>26</v>
      </c>
      <c r="C101" s="29"/>
      <c r="D101" s="29">
        <v>7532.19</v>
      </c>
      <c r="E101" s="150"/>
      <c r="F101" s="150"/>
      <c r="G101" s="46">
        <v>2563.8000000000002</v>
      </c>
      <c r="H101" s="46">
        <v>1.07</v>
      </c>
      <c r="I101" s="47">
        <v>0.16</v>
      </c>
    </row>
    <row r="102" spans="1:10" s="53" customFormat="1" ht="38.25" x14ac:dyDescent="0.2">
      <c r="A102" s="20" t="s">
        <v>128</v>
      </c>
      <c r="B102" s="23" t="s">
        <v>26</v>
      </c>
      <c r="C102" s="29"/>
      <c r="D102" s="29">
        <v>1093.4000000000001</v>
      </c>
      <c r="E102" s="150"/>
      <c r="F102" s="150"/>
      <c r="G102" s="46">
        <v>2563.8000000000002</v>
      </c>
      <c r="H102" s="46">
        <v>1.07</v>
      </c>
      <c r="I102" s="47">
        <v>0.02</v>
      </c>
    </row>
    <row r="103" spans="1:10" s="53" customFormat="1" ht="27.75" customHeight="1" x14ac:dyDescent="0.2">
      <c r="A103" s="20" t="s">
        <v>54</v>
      </c>
      <c r="B103" s="23" t="s">
        <v>18</v>
      </c>
      <c r="C103" s="29"/>
      <c r="D103" s="29">
        <f t="shared" si="1"/>
        <v>0</v>
      </c>
      <c r="E103" s="150"/>
      <c r="F103" s="150"/>
      <c r="G103" s="46">
        <v>2563.8000000000002</v>
      </c>
      <c r="H103" s="46">
        <v>1.07</v>
      </c>
      <c r="I103" s="47">
        <v>0</v>
      </c>
    </row>
    <row r="104" spans="1:10" s="53" customFormat="1" ht="18.75" customHeight="1" x14ac:dyDescent="0.2">
      <c r="A104" s="20" t="s">
        <v>53</v>
      </c>
      <c r="B104" s="23" t="s">
        <v>55</v>
      </c>
      <c r="C104" s="29"/>
      <c r="D104" s="29">
        <f t="shared" si="1"/>
        <v>0</v>
      </c>
      <c r="E104" s="150"/>
      <c r="F104" s="150"/>
      <c r="G104" s="46">
        <v>2563.8000000000002</v>
      </c>
      <c r="H104" s="46">
        <v>1.07</v>
      </c>
      <c r="I104" s="47">
        <v>0</v>
      </c>
    </row>
    <row r="105" spans="1:10" s="53" customFormat="1" ht="57.75" customHeight="1" x14ac:dyDescent="0.2">
      <c r="A105" s="20" t="s">
        <v>129</v>
      </c>
      <c r="B105" s="23" t="s">
        <v>71</v>
      </c>
      <c r="C105" s="29"/>
      <c r="D105" s="29">
        <f t="shared" si="1"/>
        <v>0</v>
      </c>
      <c r="E105" s="150"/>
      <c r="F105" s="150"/>
      <c r="G105" s="46">
        <v>2563.8000000000002</v>
      </c>
      <c r="H105" s="46">
        <v>1.07</v>
      </c>
      <c r="I105" s="47">
        <v>0</v>
      </c>
    </row>
    <row r="106" spans="1:10" s="53" customFormat="1" ht="22.5" customHeight="1" x14ac:dyDescent="0.2">
      <c r="A106" s="20" t="s">
        <v>138</v>
      </c>
      <c r="B106" s="23" t="s">
        <v>48</v>
      </c>
      <c r="C106" s="38"/>
      <c r="D106" s="38">
        <v>0</v>
      </c>
      <c r="E106" s="167"/>
      <c r="F106" s="167"/>
      <c r="G106" s="46">
        <v>2563.8000000000002</v>
      </c>
      <c r="H106" s="46"/>
      <c r="I106" s="47"/>
    </row>
    <row r="107" spans="1:10" s="53" customFormat="1" ht="20.25" customHeight="1" x14ac:dyDescent="0.2">
      <c r="A107" s="17" t="s">
        <v>56</v>
      </c>
      <c r="B107" s="23"/>
      <c r="C107" s="10" t="s">
        <v>177</v>
      </c>
      <c r="D107" s="10">
        <f>D108</f>
        <v>0</v>
      </c>
      <c r="E107" s="10">
        <f>D107/G107</f>
        <v>0</v>
      </c>
      <c r="F107" s="10">
        <f>E107/12</f>
        <v>0</v>
      </c>
      <c r="G107" s="46">
        <v>2563.8000000000002</v>
      </c>
      <c r="H107" s="46">
        <v>1.07</v>
      </c>
      <c r="I107" s="47">
        <v>0.12</v>
      </c>
    </row>
    <row r="108" spans="1:10" s="53" customFormat="1" ht="20.25" customHeight="1" x14ac:dyDescent="0.2">
      <c r="A108" s="20" t="s">
        <v>57</v>
      </c>
      <c r="B108" s="23" t="s">
        <v>26</v>
      </c>
      <c r="C108" s="29"/>
      <c r="D108" s="29">
        <v>0</v>
      </c>
      <c r="E108" s="150"/>
      <c r="F108" s="150"/>
      <c r="G108" s="46">
        <v>2563.8000000000002</v>
      </c>
      <c r="H108" s="46">
        <v>1.07</v>
      </c>
      <c r="I108" s="47">
        <v>0.02</v>
      </c>
      <c r="J108" s="53">
        <v>3044.9</v>
      </c>
    </row>
    <row r="109" spans="1:10" s="46" customFormat="1" ht="30" x14ac:dyDescent="0.2">
      <c r="A109" s="17" t="s">
        <v>58</v>
      </c>
      <c r="B109" s="9"/>
      <c r="C109" s="10" t="s">
        <v>178</v>
      </c>
      <c r="D109" s="10">
        <f>D110+D111</f>
        <v>12480</v>
      </c>
      <c r="E109" s="10">
        <f>D109/G109</f>
        <v>4.87</v>
      </c>
      <c r="F109" s="10">
        <f>E109/12</f>
        <v>0.41</v>
      </c>
      <c r="G109" s="46">
        <v>2563.8000000000002</v>
      </c>
      <c r="H109" s="46">
        <v>1.07</v>
      </c>
      <c r="I109" s="47">
        <v>0.64</v>
      </c>
    </row>
    <row r="110" spans="1:10" s="53" customFormat="1" ht="46.5" customHeight="1" x14ac:dyDescent="0.2">
      <c r="A110" s="31" t="s">
        <v>130</v>
      </c>
      <c r="B110" s="23" t="s">
        <v>27</v>
      </c>
      <c r="C110" s="29"/>
      <c r="D110" s="29">
        <v>12480</v>
      </c>
      <c r="E110" s="150"/>
      <c r="F110" s="150"/>
      <c r="G110" s="46">
        <v>2563.8000000000002</v>
      </c>
      <c r="H110" s="46">
        <v>1.07</v>
      </c>
      <c r="I110" s="47">
        <v>0.04</v>
      </c>
    </row>
    <row r="111" spans="1:10" s="53" customFormat="1" ht="27" customHeight="1" x14ac:dyDescent="0.2">
      <c r="A111" s="31" t="s">
        <v>168</v>
      </c>
      <c r="B111" s="23" t="s">
        <v>71</v>
      </c>
      <c r="C111" s="29"/>
      <c r="D111" s="29">
        <v>0</v>
      </c>
      <c r="E111" s="150"/>
      <c r="F111" s="150"/>
      <c r="G111" s="46">
        <v>2563.8000000000002</v>
      </c>
      <c r="H111" s="46">
        <v>1.07</v>
      </c>
      <c r="I111" s="47">
        <v>0.6</v>
      </c>
    </row>
    <row r="112" spans="1:10" s="46" customFormat="1" ht="15" x14ac:dyDescent="0.2">
      <c r="A112" s="17" t="s">
        <v>59</v>
      </c>
      <c r="B112" s="9"/>
      <c r="C112" s="10" t="s">
        <v>173</v>
      </c>
      <c r="D112" s="10">
        <f>D113+D114</f>
        <v>0</v>
      </c>
      <c r="E112" s="10">
        <f>D112/G112</f>
        <v>0</v>
      </c>
      <c r="F112" s="10">
        <f>E112/12</f>
        <v>0</v>
      </c>
      <c r="G112" s="46">
        <v>2563.8000000000002</v>
      </c>
      <c r="H112" s="46">
        <v>1.07</v>
      </c>
      <c r="I112" s="47">
        <v>0.05</v>
      </c>
    </row>
    <row r="113" spans="1:10" s="53" customFormat="1" ht="15" x14ac:dyDescent="0.2">
      <c r="A113" s="20" t="s">
        <v>74</v>
      </c>
      <c r="B113" s="23" t="s">
        <v>60</v>
      </c>
      <c r="C113" s="29"/>
      <c r="D113" s="29">
        <v>0</v>
      </c>
      <c r="E113" s="150"/>
      <c r="F113" s="150"/>
      <c r="G113" s="46">
        <v>2563.8000000000002</v>
      </c>
      <c r="H113" s="46">
        <v>1.07</v>
      </c>
      <c r="I113" s="47">
        <v>0.03</v>
      </c>
    </row>
    <row r="114" spans="1:10" s="53" customFormat="1" ht="15" x14ac:dyDescent="0.2">
      <c r="A114" s="20" t="s">
        <v>61</v>
      </c>
      <c r="B114" s="23" t="s">
        <v>60</v>
      </c>
      <c r="C114" s="29"/>
      <c r="D114" s="29">
        <v>0</v>
      </c>
      <c r="E114" s="150"/>
      <c r="F114" s="150"/>
      <c r="G114" s="46">
        <v>2563.8000000000002</v>
      </c>
      <c r="H114" s="46">
        <v>1.07</v>
      </c>
      <c r="I114" s="47">
        <v>0.02</v>
      </c>
    </row>
    <row r="115" spans="1:10" s="46" customFormat="1" ht="129.75" x14ac:dyDescent="0.2">
      <c r="A115" s="17" t="s">
        <v>185</v>
      </c>
      <c r="B115" s="9" t="s">
        <v>18</v>
      </c>
      <c r="C115" s="168"/>
      <c r="D115" s="19">
        <v>50000</v>
      </c>
      <c r="E115" s="19">
        <f>D115/G115</f>
        <v>19.5</v>
      </c>
      <c r="F115" s="19">
        <f>E115/12</f>
        <v>1.63</v>
      </c>
      <c r="G115" s="46">
        <v>2563.8000000000002</v>
      </c>
      <c r="H115" s="46">
        <v>1.07</v>
      </c>
      <c r="I115" s="47">
        <v>0.3</v>
      </c>
    </row>
    <row r="116" spans="1:10" s="46" customFormat="1" ht="18.75" x14ac:dyDescent="0.2">
      <c r="A116" s="25" t="s">
        <v>180</v>
      </c>
      <c r="B116" s="9" t="s">
        <v>10</v>
      </c>
      <c r="C116" s="168"/>
      <c r="D116" s="168">
        <f>(12004.62+1948.84)*G116/J116</f>
        <v>11748.79</v>
      </c>
      <c r="E116" s="168">
        <f>D116/G116</f>
        <v>4.58</v>
      </c>
      <c r="F116" s="168">
        <f>E116/12</f>
        <v>0.38</v>
      </c>
      <c r="G116" s="46">
        <v>2563.8000000000002</v>
      </c>
      <c r="I116" s="47"/>
      <c r="J116" s="46">
        <v>3044.9</v>
      </c>
    </row>
    <row r="117" spans="1:10" s="46" customFormat="1" ht="18.75" x14ac:dyDescent="0.2">
      <c r="A117" s="25" t="s">
        <v>181</v>
      </c>
      <c r="B117" s="9" t="s">
        <v>10</v>
      </c>
      <c r="C117" s="169"/>
      <c r="D117" s="168">
        <f>(1948.84+8101.03+4423.71)*G117/J117</f>
        <v>12186.73</v>
      </c>
      <c r="E117" s="168">
        <f t="shared" ref="E117:E119" si="2">D117/G117</f>
        <v>4.75</v>
      </c>
      <c r="F117" s="168">
        <f t="shared" ref="F117:F119" si="3">E117/12</f>
        <v>0.4</v>
      </c>
      <c r="G117" s="46">
        <v>2563.8000000000002</v>
      </c>
      <c r="I117" s="47"/>
      <c r="J117" s="46">
        <v>3044.9</v>
      </c>
    </row>
    <row r="118" spans="1:10" s="46" customFormat="1" ht="18.75" x14ac:dyDescent="0.2">
      <c r="A118" s="25" t="s">
        <v>182</v>
      </c>
      <c r="B118" s="9" t="s">
        <v>10</v>
      </c>
      <c r="C118" s="169"/>
      <c r="D118" s="168">
        <f>53980.38*G118/J118</f>
        <v>45451.38</v>
      </c>
      <c r="E118" s="168">
        <f t="shared" si="2"/>
        <v>17.73</v>
      </c>
      <c r="F118" s="168">
        <f t="shared" si="3"/>
        <v>1.48</v>
      </c>
      <c r="G118" s="46">
        <v>2563.8000000000002</v>
      </c>
      <c r="I118" s="47"/>
      <c r="J118" s="46">
        <v>3044.9</v>
      </c>
    </row>
    <row r="119" spans="1:10" s="46" customFormat="1" ht="19.5" thickBot="1" x14ac:dyDescent="0.25">
      <c r="A119" s="25" t="s">
        <v>183</v>
      </c>
      <c r="B119" s="9" t="s">
        <v>10</v>
      </c>
      <c r="C119" s="169"/>
      <c r="D119" s="168">
        <f>16151.77*G119/J119</f>
        <v>13599.76</v>
      </c>
      <c r="E119" s="168">
        <f t="shared" si="2"/>
        <v>5.3</v>
      </c>
      <c r="F119" s="168">
        <f t="shared" si="3"/>
        <v>0.44</v>
      </c>
      <c r="G119" s="46">
        <v>2563.8000000000002</v>
      </c>
      <c r="I119" s="47"/>
      <c r="J119" s="46">
        <v>3044.9</v>
      </c>
    </row>
    <row r="120" spans="1:10" s="46" customFormat="1" ht="30.75" thickBot="1" x14ac:dyDescent="0.25">
      <c r="A120" s="170" t="s">
        <v>62</v>
      </c>
      <c r="B120" s="171" t="s">
        <v>170</v>
      </c>
      <c r="C120" s="168"/>
      <c r="D120" s="39">
        <v>0</v>
      </c>
      <c r="E120" s="19">
        <f>D120/G120</f>
        <v>0</v>
      </c>
      <c r="F120" s="19">
        <f>E120/12</f>
        <v>0</v>
      </c>
      <c r="G120" s="46">
        <v>2563.8000000000002</v>
      </c>
      <c r="I120" s="47"/>
    </row>
    <row r="121" spans="1:10" s="46" customFormat="1" ht="19.5" thickBot="1" x14ac:dyDescent="0.25">
      <c r="A121" s="172" t="s">
        <v>63</v>
      </c>
      <c r="B121" s="173" t="s">
        <v>15</v>
      </c>
      <c r="C121" s="169"/>
      <c r="D121" s="174">
        <f>E121*G121</f>
        <v>51558.5</v>
      </c>
      <c r="E121" s="168">
        <f>12*F121</f>
        <v>24.72</v>
      </c>
      <c r="F121" s="168">
        <v>2.06</v>
      </c>
      <c r="G121" s="46">
        <f>2563.8-478.1</f>
        <v>2085.6999999999998</v>
      </c>
      <c r="I121" s="47"/>
    </row>
    <row r="122" spans="1:10" s="46" customFormat="1" ht="20.25" thickBot="1" x14ac:dyDescent="0.45">
      <c r="A122" s="175" t="s">
        <v>64</v>
      </c>
      <c r="B122" s="176"/>
      <c r="C122" s="177"/>
      <c r="D122" s="178">
        <f>D120+D115+D112+D109+D107+D99+D94+D87+D72+D71+D70+D69+D55+D53+D49+D43+D42+D41+D40+D39+D28+D14+D121+D58+D56+D54+D116+D117+D118+D119+D68+D57</f>
        <v>849333.73</v>
      </c>
      <c r="E122" s="178">
        <f>E120+E115+E112+E109+E107+E99+E94+E87+E72+E71+E70+E69+E55+E53+E49+E43+E42+E41+E40+E39+E28+E14+E121+E58+E56+E54+E116+E117+E118+E119+E68+E57</f>
        <v>335.87</v>
      </c>
      <c r="F122" s="178">
        <f>F120+F115+F112+F109+F107+F99+F94+F87+F72+F71+F70+F69+F55+F53+F49+F43+F42+F41+F40+F39+F28+F14+F121+F58+F56+F54+F116+F117+F118+F119+F68+F57</f>
        <v>28.01</v>
      </c>
      <c r="I122" s="47"/>
    </row>
    <row r="123" spans="1:10" s="108" customFormat="1" ht="19.5" thickBot="1" x14ac:dyDescent="0.45">
      <c r="A123" s="179"/>
      <c r="B123" s="180"/>
      <c r="C123" s="181"/>
      <c r="D123" s="181"/>
      <c r="E123" s="181"/>
      <c r="F123" s="181"/>
      <c r="I123" s="109"/>
    </row>
    <row r="124" spans="1:10" s="108" customFormat="1" ht="38.25" thickBot="1" x14ac:dyDescent="0.45">
      <c r="A124" s="172" t="s">
        <v>65</v>
      </c>
      <c r="B124" s="182"/>
      <c r="C124" s="183"/>
      <c r="D124" s="184">
        <v>0</v>
      </c>
      <c r="E124" s="184">
        <v>0</v>
      </c>
      <c r="F124" s="184">
        <v>0</v>
      </c>
      <c r="G124" s="46">
        <v>2563.8000000000002</v>
      </c>
      <c r="I124" s="109"/>
    </row>
    <row r="125" spans="1:10" s="108" customFormat="1" ht="19.5" thickBot="1" x14ac:dyDescent="0.45">
      <c r="A125" s="179"/>
      <c r="B125" s="180"/>
      <c r="C125" s="181"/>
      <c r="D125" s="185"/>
      <c r="E125" s="185"/>
      <c r="F125" s="185"/>
      <c r="I125" s="109"/>
    </row>
    <row r="126" spans="1:10" s="118" customFormat="1" ht="20.25" thickBot="1" x14ac:dyDescent="0.45">
      <c r="A126" s="175" t="s">
        <v>66</v>
      </c>
      <c r="B126" s="186"/>
      <c r="C126" s="186"/>
      <c r="D126" s="187">
        <f>D122+D124</f>
        <v>849333.73</v>
      </c>
      <c r="E126" s="187">
        <f>E122+E124</f>
        <v>335.87</v>
      </c>
      <c r="F126" s="187">
        <f>F122+F124</f>
        <v>28.01</v>
      </c>
      <c r="I126" s="119"/>
    </row>
    <row r="127" spans="1:10" s="108" customFormat="1" ht="19.5" x14ac:dyDescent="0.4">
      <c r="A127" s="188"/>
      <c r="B127" s="189"/>
      <c r="C127" s="189"/>
      <c r="D127" s="190"/>
      <c r="E127" s="190"/>
      <c r="F127" s="190"/>
      <c r="I127" s="109"/>
    </row>
    <row r="128" spans="1:10" s="108" customFormat="1" ht="19.5" x14ac:dyDescent="0.4">
      <c r="A128" s="188"/>
      <c r="B128" s="189"/>
      <c r="C128" s="189"/>
      <c r="D128" s="190"/>
      <c r="E128" s="190"/>
      <c r="F128" s="190"/>
      <c r="I128" s="109"/>
    </row>
    <row r="129" spans="1:9" s="108" customFormat="1" ht="19.5" x14ac:dyDescent="0.4">
      <c r="A129" s="188"/>
      <c r="B129" s="189"/>
      <c r="C129" s="189"/>
      <c r="D129" s="190"/>
      <c r="E129" s="190"/>
      <c r="F129" s="190"/>
      <c r="I129" s="109"/>
    </row>
    <row r="130" spans="1:9" s="100" customFormat="1" ht="19.5" x14ac:dyDescent="0.2">
      <c r="A130" s="191"/>
      <c r="B130" s="189"/>
      <c r="C130" s="190"/>
      <c r="D130" s="190"/>
      <c r="E130" s="190"/>
      <c r="F130" s="190"/>
      <c r="I130" s="101"/>
    </row>
    <row r="131" spans="1:9" s="103" customFormat="1" ht="14.25" x14ac:dyDescent="0.2">
      <c r="A131" s="215" t="s">
        <v>67</v>
      </c>
      <c r="B131" s="215"/>
      <c r="C131" s="215"/>
      <c r="D131" s="215"/>
      <c r="E131" s="151"/>
      <c r="F131" s="151"/>
      <c r="I131" s="104"/>
    </row>
    <row r="132" spans="1:9" s="103" customFormat="1" x14ac:dyDescent="0.2">
      <c r="A132" s="151"/>
      <c r="B132" s="151"/>
      <c r="C132" s="151"/>
      <c r="D132" s="151"/>
      <c r="E132" s="151"/>
      <c r="F132" s="151"/>
      <c r="I132" s="104"/>
    </row>
    <row r="133" spans="1:9" s="103" customFormat="1" x14ac:dyDescent="0.2">
      <c r="A133" s="192" t="s">
        <v>68</v>
      </c>
      <c r="B133" s="151"/>
      <c r="C133" s="151"/>
      <c r="D133" s="151"/>
      <c r="E133" s="151"/>
      <c r="F133" s="151"/>
      <c r="I133" s="104"/>
    </row>
    <row r="134" spans="1:9" s="27" customFormat="1" x14ac:dyDescent="0.2">
      <c r="A134" s="151"/>
      <c r="B134" s="151"/>
      <c r="C134" s="151"/>
      <c r="D134" s="151"/>
      <c r="E134" s="151"/>
      <c r="F134" s="151"/>
      <c r="I134" s="28"/>
    </row>
    <row r="135" spans="1:9" s="27" customFormat="1" x14ac:dyDescent="0.2">
      <c r="I135" s="28"/>
    </row>
    <row r="136" spans="1:9" s="27" customFormat="1" x14ac:dyDescent="0.2">
      <c r="I136" s="28"/>
    </row>
    <row r="137" spans="1:9" s="27" customFormat="1" x14ac:dyDescent="0.2">
      <c r="I137" s="28"/>
    </row>
    <row r="138" spans="1:9" s="27" customFormat="1" x14ac:dyDescent="0.2">
      <c r="I138" s="28"/>
    </row>
    <row r="139" spans="1:9" s="27" customFormat="1" x14ac:dyDescent="0.2">
      <c r="I139" s="28"/>
    </row>
    <row r="140" spans="1:9" s="27" customFormat="1" x14ac:dyDescent="0.2">
      <c r="I140" s="28"/>
    </row>
    <row r="141" spans="1:9" s="27" customFormat="1" x14ac:dyDescent="0.2">
      <c r="I141" s="28"/>
    </row>
    <row r="142" spans="1:9" s="27" customFormat="1" x14ac:dyDescent="0.2">
      <c r="I142" s="28"/>
    </row>
    <row r="143" spans="1:9" s="27" customFormat="1" x14ac:dyDescent="0.2">
      <c r="I143" s="28"/>
    </row>
    <row r="144" spans="1:9" s="27" customFormat="1" x14ac:dyDescent="0.2">
      <c r="I144" s="28"/>
    </row>
    <row r="145" spans="9:9" s="27" customFormat="1" x14ac:dyDescent="0.2">
      <c r="I145" s="28"/>
    </row>
    <row r="146" spans="9:9" s="27" customFormat="1" x14ac:dyDescent="0.2">
      <c r="I146" s="28"/>
    </row>
    <row r="147" spans="9:9" s="27" customFormat="1" x14ac:dyDescent="0.2">
      <c r="I147" s="28"/>
    </row>
    <row r="148" spans="9:9" s="27" customFormat="1" x14ac:dyDescent="0.2">
      <c r="I148" s="28"/>
    </row>
    <row r="149" spans="9:9" s="27" customFormat="1" x14ac:dyDescent="0.2">
      <c r="I149" s="28"/>
    </row>
    <row r="150" spans="9:9" s="27" customFormat="1" x14ac:dyDescent="0.2">
      <c r="I150" s="28"/>
    </row>
    <row r="151" spans="9:9" s="27" customFormat="1" x14ac:dyDescent="0.2">
      <c r="I151" s="28"/>
    </row>
  </sheetData>
  <mergeCells count="12">
    <mergeCell ref="G9:J9"/>
    <mergeCell ref="A10:F10"/>
    <mergeCell ref="A13:F13"/>
    <mergeCell ref="A131:D131"/>
    <mergeCell ref="A1:F1"/>
    <mergeCell ref="B2:F2"/>
    <mergeCell ref="B3:F3"/>
    <mergeCell ref="B5:F5"/>
    <mergeCell ref="A6:F6"/>
    <mergeCell ref="A7:F7"/>
    <mergeCell ref="A8:F8"/>
    <mergeCell ref="A9:F9"/>
  </mergeCells>
  <printOptions horizontalCentered="1"/>
  <pageMargins left="0.2" right="0.2" top="0.19685039370078741" bottom="0.2" header="0.2" footer="0.2"/>
  <pageSetup paperSize="9" scale="63" orientation="portrait" r:id="rId1"/>
  <headerFooter alignWithMargins="0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55"/>
  <sheetViews>
    <sheetView tabSelected="1" topLeftCell="A118" zoomScale="90" zoomScaleNormal="90" workbookViewId="0">
      <selection activeCell="G138" sqref="G138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18.140625" style="1" customWidth="1"/>
    <col min="5" max="5" width="15.7109375" style="1" customWidth="1"/>
    <col min="6" max="6" width="20.85546875" style="1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10" ht="16.5" customHeight="1" x14ac:dyDescent="0.2">
      <c r="A1" s="193" t="s">
        <v>142</v>
      </c>
      <c r="B1" s="216"/>
      <c r="C1" s="216"/>
      <c r="D1" s="216"/>
      <c r="E1" s="216"/>
      <c r="F1" s="216"/>
    </row>
    <row r="2" spans="1:10" ht="12.75" customHeight="1" x14ac:dyDescent="0.3">
      <c r="A2" s="148"/>
      <c r="B2" s="195"/>
      <c r="C2" s="195"/>
      <c r="D2" s="195"/>
      <c r="E2" s="216"/>
      <c r="F2" s="216"/>
    </row>
    <row r="3" spans="1:10" ht="21" customHeight="1" x14ac:dyDescent="0.3">
      <c r="A3" s="152" t="s">
        <v>164</v>
      </c>
      <c r="B3" s="195" t="s">
        <v>0</v>
      </c>
      <c r="C3" s="195"/>
      <c r="D3" s="195"/>
      <c r="E3" s="216"/>
      <c r="F3" s="216"/>
    </row>
    <row r="4" spans="1:10" ht="21" customHeight="1" x14ac:dyDescent="0.3">
      <c r="A4" s="152"/>
      <c r="B4" s="147"/>
      <c r="C4" s="147"/>
      <c r="D4" s="147"/>
      <c r="E4" s="149"/>
      <c r="F4" s="149"/>
    </row>
    <row r="5" spans="1:10" ht="14.25" customHeight="1" x14ac:dyDescent="0.3">
      <c r="A5" s="148"/>
      <c r="B5" s="195" t="s">
        <v>143</v>
      </c>
      <c r="C5" s="195"/>
      <c r="D5" s="195"/>
      <c r="E5" s="216"/>
      <c r="F5" s="216"/>
    </row>
    <row r="6" spans="1:10" ht="18" customHeight="1" x14ac:dyDescent="0.4">
      <c r="A6" s="196"/>
      <c r="B6" s="196"/>
      <c r="C6" s="196"/>
      <c r="D6" s="196"/>
      <c r="E6" s="196"/>
      <c r="F6" s="196"/>
    </row>
    <row r="7" spans="1:10" s="6" customFormat="1" ht="22.5" customHeight="1" x14ac:dyDescent="0.4">
      <c r="A7" s="205" t="s">
        <v>1</v>
      </c>
      <c r="B7" s="205"/>
      <c r="C7" s="205"/>
      <c r="D7" s="205"/>
      <c r="E7" s="217"/>
      <c r="F7" s="217"/>
      <c r="I7" s="7"/>
    </row>
    <row r="8" spans="1:10" s="8" customFormat="1" ht="18.75" customHeight="1" x14ac:dyDescent="0.4">
      <c r="A8" s="205" t="s">
        <v>139</v>
      </c>
      <c r="B8" s="205"/>
      <c r="C8" s="205"/>
      <c r="D8" s="205"/>
      <c r="E8" s="217"/>
      <c r="F8" s="217"/>
    </row>
    <row r="9" spans="1:10" s="40" customFormat="1" ht="17.25" customHeight="1" x14ac:dyDescent="0.2">
      <c r="A9" s="218" t="s">
        <v>2</v>
      </c>
      <c r="B9" s="218"/>
      <c r="C9" s="218"/>
      <c r="D9" s="218"/>
      <c r="E9" s="219"/>
      <c r="F9" s="219"/>
      <c r="G9" s="204"/>
      <c r="H9" s="204"/>
      <c r="I9" s="204"/>
      <c r="J9" s="204"/>
    </row>
    <row r="10" spans="1:10" s="41" customFormat="1" ht="30" customHeight="1" thickBot="1" x14ac:dyDescent="0.25">
      <c r="A10" s="209" t="s">
        <v>3</v>
      </c>
      <c r="B10" s="209"/>
      <c r="C10" s="209"/>
      <c r="D10" s="209"/>
      <c r="E10" s="210"/>
      <c r="F10" s="210"/>
    </row>
    <row r="11" spans="1:10" s="46" customFormat="1" ht="139.5" customHeight="1" thickBot="1" x14ac:dyDescent="0.25">
      <c r="A11" s="153" t="s">
        <v>4</v>
      </c>
      <c r="B11" s="154" t="s">
        <v>5</v>
      </c>
      <c r="C11" s="155" t="s">
        <v>131</v>
      </c>
      <c r="D11" s="155" t="s">
        <v>7</v>
      </c>
      <c r="E11" s="155" t="s">
        <v>6</v>
      </c>
      <c r="F11" s="156" t="s">
        <v>8</v>
      </c>
      <c r="I11" s="47"/>
    </row>
    <row r="12" spans="1:10" s="53" customFormat="1" x14ac:dyDescent="0.2">
      <c r="A12" s="157">
        <v>1</v>
      </c>
      <c r="B12" s="158">
        <v>2</v>
      </c>
      <c r="C12" s="159">
        <v>3</v>
      </c>
      <c r="D12" s="159">
        <v>4</v>
      </c>
      <c r="E12" s="160">
        <v>5</v>
      </c>
      <c r="F12" s="161">
        <v>6</v>
      </c>
      <c r="I12" s="54"/>
    </row>
    <row r="13" spans="1:10" s="53" customFormat="1" ht="49.5" customHeight="1" x14ac:dyDescent="0.2">
      <c r="A13" s="211" t="s">
        <v>9</v>
      </c>
      <c r="B13" s="212"/>
      <c r="C13" s="212"/>
      <c r="D13" s="212"/>
      <c r="E13" s="213"/>
      <c r="F13" s="214"/>
      <c r="I13" s="54"/>
    </row>
    <row r="14" spans="1:10" s="46" customFormat="1" ht="16.5" customHeight="1" x14ac:dyDescent="0.2">
      <c r="A14" s="162" t="s">
        <v>77</v>
      </c>
      <c r="B14" s="9" t="s">
        <v>10</v>
      </c>
      <c r="C14" s="16" t="s">
        <v>141</v>
      </c>
      <c r="D14" s="16">
        <f>E14*G14</f>
        <v>111063.82</v>
      </c>
      <c r="E14" s="10">
        <f>F14*12</f>
        <v>43.32</v>
      </c>
      <c r="F14" s="10">
        <f>F25+F27</f>
        <v>3.61</v>
      </c>
      <c r="G14" s="46">
        <v>2563.8000000000002</v>
      </c>
      <c r="H14" s="46">
        <v>1.07</v>
      </c>
      <c r="I14" s="47">
        <v>2.2400000000000002</v>
      </c>
      <c r="J14" s="46">
        <v>3044.9</v>
      </c>
    </row>
    <row r="15" spans="1:10" s="46" customFormat="1" ht="29.25" customHeight="1" x14ac:dyDescent="0.2">
      <c r="A15" s="36" t="s">
        <v>11</v>
      </c>
      <c r="B15" s="37" t="s">
        <v>12</v>
      </c>
      <c r="C15" s="15"/>
      <c r="D15" s="15"/>
      <c r="E15" s="14"/>
      <c r="F15" s="14"/>
      <c r="I15" s="47"/>
    </row>
    <row r="16" spans="1:10" s="46" customFormat="1" ht="24" customHeight="1" x14ac:dyDescent="0.2">
      <c r="A16" s="36" t="s">
        <v>13</v>
      </c>
      <c r="B16" s="37" t="s">
        <v>12</v>
      </c>
      <c r="C16" s="15"/>
      <c r="D16" s="15"/>
      <c r="E16" s="14"/>
      <c r="F16" s="14"/>
      <c r="I16" s="47"/>
    </row>
    <row r="17" spans="1:10" s="46" customFormat="1" ht="120" customHeight="1" x14ac:dyDescent="0.2">
      <c r="A17" s="36" t="s">
        <v>78</v>
      </c>
      <c r="B17" s="37" t="s">
        <v>27</v>
      </c>
      <c r="C17" s="15"/>
      <c r="D17" s="15"/>
      <c r="E17" s="14"/>
      <c r="F17" s="14"/>
      <c r="I17" s="47"/>
    </row>
    <row r="18" spans="1:10" s="46" customFormat="1" ht="15" x14ac:dyDescent="0.2">
      <c r="A18" s="36" t="s">
        <v>79</v>
      </c>
      <c r="B18" s="37" t="s">
        <v>12</v>
      </c>
      <c r="C18" s="15"/>
      <c r="D18" s="15"/>
      <c r="E18" s="14"/>
      <c r="F18" s="14"/>
      <c r="I18" s="47"/>
    </row>
    <row r="19" spans="1:10" s="46" customFormat="1" ht="15" x14ac:dyDescent="0.2">
      <c r="A19" s="36" t="s">
        <v>80</v>
      </c>
      <c r="B19" s="37" t="s">
        <v>12</v>
      </c>
      <c r="C19" s="15"/>
      <c r="D19" s="15"/>
      <c r="E19" s="14"/>
      <c r="F19" s="14"/>
      <c r="I19" s="47"/>
    </row>
    <row r="20" spans="1:10" s="46" customFormat="1" ht="25.5" x14ac:dyDescent="0.2">
      <c r="A20" s="36" t="s">
        <v>81</v>
      </c>
      <c r="B20" s="37" t="s">
        <v>18</v>
      </c>
      <c r="C20" s="15"/>
      <c r="D20" s="15"/>
      <c r="E20" s="14"/>
      <c r="F20" s="14"/>
      <c r="I20" s="47"/>
    </row>
    <row r="21" spans="1:10" s="46" customFormat="1" ht="15" x14ac:dyDescent="0.2">
      <c r="A21" s="36" t="s">
        <v>82</v>
      </c>
      <c r="B21" s="37" t="s">
        <v>21</v>
      </c>
      <c r="C21" s="15"/>
      <c r="D21" s="15"/>
      <c r="E21" s="14"/>
      <c r="F21" s="14"/>
      <c r="I21" s="47"/>
    </row>
    <row r="22" spans="1:10" s="46" customFormat="1" ht="15" x14ac:dyDescent="0.2">
      <c r="A22" s="36" t="s">
        <v>156</v>
      </c>
      <c r="B22" s="37" t="s">
        <v>12</v>
      </c>
      <c r="C22" s="15"/>
      <c r="D22" s="15"/>
      <c r="E22" s="14"/>
      <c r="F22" s="14"/>
      <c r="I22" s="47"/>
    </row>
    <row r="23" spans="1:10" s="46" customFormat="1" ht="15" x14ac:dyDescent="0.2">
      <c r="A23" s="36" t="s">
        <v>157</v>
      </c>
      <c r="B23" s="37" t="s">
        <v>12</v>
      </c>
      <c r="C23" s="15"/>
      <c r="D23" s="15"/>
      <c r="E23" s="14"/>
      <c r="F23" s="14"/>
      <c r="I23" s="47"/>
    </row>
    <row r="24" spans="1:10" s="46" customFormat="1" ht="15" x14ac:dyDescent="0.2">
      <c r="A24" s="36" t="s">
        <v>83</v>
      </c>
      <c r="B24" s="37" t="s">
        <v>26</v>
      </c>
      <c r="C24" s="15"/>
      <c r="D24" s="15"/>
      <c r="E24" s="14"/>
      <c r="F24" s="14"/>
      <c r="I24" s="47"/>
    </row>
    <row r="25" spans="1:10" s="46" customFormat="1" ht="15" x14ac:dyDescent="0.2">
      <c r="A25" s="162" t="s">
        <v>73</v>
      </c>
      <c r="B25" s="13"/>
      <c r="C25" s="15"/>
      <c r="D25" s="15"/>
      <c r="E25" s="14"/>
      <c r="F25" s="10">
        <v>3.61</v>
      </c>
      <c r="G25" s="46">
        <v>2563.8000000000002</v>
      </c>
      <c r="I25" s="47"/>
      <c r="J25" s="46">
        <v>3044.9</v>
      </c>
    </row>
    <row r="26" spans="1:10" s="46" customFormat="1" ht="15" x14ac:dyDescent="0.2">
      <c r="A26" s="12" t="s">
        <v>72</v>
      </c>
      <c r="B26" s="13" t="s">
        <v>12</v>
      </c>
      <c r="C26" s="15"/>
      <c r="D26" s="15"/>
      <c r="E26" s="14"/>
      <c r="F26" s="14">
        <v>0</v>
      </c>
      <c r="G26" s="46">
        <v>2563.8000000000002</v>
      </c>
      <c r="I26" s="47"/>
      <c r="J26" s="46">
        <v>3044.9</v>
      </c>
    </row>
    <row r="27" spans="1:10" s="46" customFormat="1" ht="15" x14ac:dyDescent="0.2">
      <c r="A27" s="162" t="s">
        <v>73</v>
      </c>
      <c r="B27" s="13"/>
      <c r="C27" s="15"/>
      <c r="D27" s="15"/>
      <c r="E27" s="14"/>
      <c r="F27" s="10">
        <f>F26</f>
        <v>0</v>
      </c>
      <c r="I27" s="47"/>
    </row>
    <row r="28" spans="1:10" s="46" customFormat="1" ht="30" x14ac:dyDescent="0.2">
      <c r="A28" s="162" t="s">
        <v>14</v>
      </c>
      <c r="B28" s="163" t="s">
        <v>15</v>
      </c>
      <c r="C28" s="16" t="s">
        <v>132</v>
      </c>
      <c r="D28" s="16">
        <f>E28*G28</f>
        <v>16613.419999999998</v>
      </c>
      <c r="E28" s="10">
        <f>12*F28</f>
        <v>6.48</v>
      </c>
      <c r="F28" s="10">
        <v>0.54</v>
      </c>
      <c r="G28" s="46">
        <v>2563.8000000000002</v>
      </c>
      <c r="H28" s="46">
        <v>1.07</v>
      </c>
      <c r="I28" s="47">
        <v>1.27</v>
      </c>
    </row>
    <row r="29" spans="1:10" s="46" customFormat="1" ht="15" x14ac:dyDescent="0.2">
      <c r="A29" s="36" t="s">
        <v>84</v>
      </c>
      <c r="B29" s="37" t="s">
        <v>15</v>
      </c>
      <c r="C29" s="16"/>
      <c r="D29" s="16"/>
      <c r="E29" s="10"/>
      <c r="F29" s="10"/>
      <c r="I29" s="47"/>
    </row>
    <row r="30" spans="1:10" s="46" customFormat="1" ht="15" x14ac:dyDescent="0.2">
      <c r="A30" s="36" t="s">
        <v>85</v>
      </c>
      <c r="B30" s="37" t="s">
        <v>86</v>
      </c>
      <c r="C30" s="16"/>
      <c r="D30" s="16"/>
      <c r="E30" s="10"/>
      <c r="F30" s="10"/>
      <c r="I30" s="47"/>
    </row>
    <row r="31" spans="1:10" s="46" customFormat="1" ht="15" x14ac:dyDescent="0.2">
      <c r="A31" s="36" t="s">
        <v>87</v>
      </c>
      <c r="B31" s="37" t="s">
        <v>88</v>
      </c>
      <c r="C31" s="16"/>
      <c r="D31" s="16"/>
      <c r="E31" s="10"/>
      <c r="F31" s="10"/>
      <c r="I31" s="47"/>
    </row>
    <row r="32" spans="1:10" s="46" customFormat="1" ht="15" x14ac:dyDescent="0.2">
      <c r="A32" s="36" t="s">
        <v>16</v>
      </c>
      <c r="B32" s="37" t="s">
        <v>15</v>
      </c>
      <c r="C32" s="16"/>
      <c r="D32" s="16"/>
      <c r="E32" s="10"/>
      <c r="F32" s="10"/>
      <c r="I32" s="47"/>
    </row>
    <row r="33" spans="1:10" s="46" customFormat="1" ht="25.5" x14ac:dyDescent="0.2">
      <c r="A33" s="36" t="s">
        <v>17</v>
      </c>
      <c r="B33" s="37" t="s">
        <v>18</v>
      </c>
      <c r="C33" s="16"/>
      <c r="D33" s="16"/>
      <c r="E33" s="10"/>
      <c r="F33" s="10"/>
      <c r="I33" s="47"/>
    </row>
    <row r="34" spans="1:10" s="46" customFormat="1" ht="15" x14ac:dyDescent="0.2">
      <c r="A34" s="36" t="s">
        <v>89</v>
      </c>
      <c r="B34" s="37" t="s">
        <v>15</v>
      </c>
      <c r="C34" s="16"/>
      <c r="D34" s="16"/>
      <c r="E34" s="10"/>
      <c r="F34" s="10"/>
      <c r="I34" s="47"/>
    </row>
    <row r="35" spans="1:10" s="46" customFormat="1" ht="15" x14ac:dyDescent="0.2">
      <c r="A35" s="36" t="s">
        <v>90</v>
      </c>
      <c r="B35" s="37" t="s">
        <v>15</v>
      </c>
      <c r="C35" s="16"/>
      <c r="D35" s="16"/>
      <c r="E35" s="10"/>
      <c r="F35" s="10"/>
      <c r="I35" s="47"/>
    </row>
    <row r="36" spans="1:10" s="46" customFormat="1" ht="25.5" x14ac:dyDescent="0.2">
      <c r="A36" s="36" t="s">
        <v>91</v>
      </c>
      <c r="B36" s="37" t="s">
        <v>19</v>
      </c>
      <c r="C36" s="16"/>
      <c r="D36" s="16"/>
      <c r="E36" s="10"/>
      <c r="F36" s="10"/>
      <c r="I36" s="47"/>
    </row>
    <row r="37" spans="1:10" s="46" customFormat="1" ht="25.5" x14ac:dyDescent="0.2">
      <c r="A37" s="36" t="s">
        <v>92</v>
      </c>
      <c r="B37" s="37" t="s">
        <v>18</v>
      </c>
      <c r="C37" s="16"/>
      <c r="D37" s="16"/>
      <c r="E37" s="10"/>
      <c r="F37" s="10"/>
      <c r="I37" s="47"/>
    </row>
    <row r="38" spans="1:10" s="46" customFormat="1" ht="25.5" x14ac:dyDescent="0.2">
      <c r="A38" s="36" t="s">
        <v>93</v>
      </c>
      <c r="B38" s="37" t="s">
        <v>15</v>
      </c>
      <c r="C38" s="16"/>
      <c r="D38" s="16"/>
      <c r="E38" s="10"/>
      <c r="F38" s="10"/>
      <c r="I38" s="47"/>
    </row>
    <row r="39" spans="1:10" s="67" customFormat="1" ht="21" customHeight="1" x14ac:dyDescent="0.2">
      <c r="A39" s="17" t="s">
        <v>20</v>
      </c>
      <c r="B39" s="9" t="s">
        <v>21</v>
      </c>
      <c r="C39" s="16" t="s">
        <v>141</v>
      </c>
      <c r="D39" s="16">
        <f>E39*G39</f>
        <v>27689.040000000001</v>
      </c>
      <c r="E39" s="10">
        <f>F39*12</f>
        <v>10.8</v>
      </c>
      <c r="F39" s="10">
        <v>0.9</v>
      </c>
      <c r="G39" s="46">
        <v>2563.8000000000002</v>
      </c>
      <c r="H39" s="46">
        <v>1.07</v>
      </c>
      <c r="I39" s="47">
        <v>0.6</v>
      </c>
      <c r="J39" s="67">
        <v>3044.9</v>
      </c>
    </row>
    <row r="40" spans="1:10" s="46" customFormat="1" ht="15" x14ac:dyDescent="0.2">
      <c r="A40" s="17" t="s">
        <v>22</v>
      </c>
      <c r="B40" s="9" t="s">
        <v>23</v>
      </c>
      <c r="C40" s="16"/>
      <c r="D40" s="16">
        <f>E40*G40</f>
        <v>90143.21</v>
      </c>
      <c r="E40" s="10">
        <f>F40*12</f>
        <v>35.159999999999997</v>
      </c>
      <c r="F40" s="10">
        <v>2.93</v>
      </c>
      <c r="G40" s="46">
        <v>2563.8000000000002</v>
      </c>
      <c r="H40" s="46">
        <v>1.07</v>
      </c>
      <c r="I40" s="47">
        <v>1.94</v>
      </c>
      <c r="J40" s="46">
        <v>3044.9</v>
      </c>
    </row>
    <row r="41" spans="1:10" s="46" customFormat="1" ht="15" x14ac:dyDescent="0.2">
      <c r="A41" s="17" t="s">
        <v>136</v>
      </c>
      <c r="B41" s="9" t="s">
        <v>15</v>
      </c>
      <c r="C41" s="16" t="s">
        <v>133</v>
      </c>
      <c r="D41" s="16">
        <f>E41*G41</f>
        <v>55993.39</v>
      </c>
      <c r="E41" s="10">
        <f>F41*12</f>
        <v>21.84</v>
      </c>
      <c r="F41" s="10">
        <v>1.82</v>
      </c>
      <c r="G41" s="46">
        <v>2563.8000000000002</v>
      </c>
      <c r="H41" s="46">
        <v>1.07</v>
      </c>
      <c r="I41" s="47">
        <v>1.21</v>
      </c>
    </row>
    <row r="42" spans="1:10" s="46" customFormat="1" ht="45" x14ac:dyDescent="0.2">
      <c r="A42" s="17" t="s">
        <v>25</v>
      </c>
      <c r="B42" s="9" t="s">
        <v>184</v>
      </c>
      <c r="C42" s="16" t="s">
        <v>133</v>
      </c>
      <c r="D42" s="16">
        <f>3407.5*1*1.105*1.1*1.086</f>
        <v>4498.01</v>
      </c>
      <c r="E42" s="10">
        <f>D42/G42</f>
        <v>1.75</v>
      </c>
      <c r="F42" s="10">
        <f>E42/12</f>
        <v>0.15</v>
      </c>
      <c r="G42" s="46">
        <v>2563.8000000000002</v>
      </c>
      <c r="I42" s="47"/>
    </row>
    <row r="43" spans="1:10" s="46" customFormat="1" ht="20.25" customHeight="1" x14ac:dyDescent="0.2">
      <c r="A43" s="17" t="s">
        <v>94</v>
      </c>
      <c r="B43" s="9" t="s">
        <v>15</v>
      </c>
      <c r="C43" s="16" t="s">
        <v>171</v>
      </c>
      <c r="D43" s="16">
        <f>E43*G43</f>
        <v>65223.07</v>
      </c>
      <c r="E43" s="10">
        <f>F43*12</f>
        <v>25.44</v>
      </c>
      <c r="F43" s="10">
        <v>2.12</v>
      </c>
      <c r="G43" s="46">
        <v>2563.8000000000002</v>
      </c>
      <c r="H43" s="46">
        <v>1.07</v>
      </c>
      <c r="I43" s="47">
        <v>1.4</v>
      </c>
    </row>
    <row r="44" spans="1:10" s="46" customFormat="1" ht="15" x14ac:dyDescent="0.2">
      <c r="A44" s="36" t="s">
        <v>95</v>
      </c>
      <c r="B44" s="37" t="s">
        <v>27</v>
      </c>
      <c r="C44" s="16"/>
      <c r="D44" s="16"/>
      <c r="E44" s="10"/>
      <c r="F44" s="10"/>
      <c r="H44" s="46">
        <v>1.07</v>
      </c>
      <c r="I44" s="47">
        <v>0</v>
      </c>
    </row>
    <row r="45" spans="1:10" s="46" customFormat="1" ht="15" x14ac:dyDescent="0.2">
      <c r="A45" s="36" t="s">
        <v>96</v>
      </c>
      <c r="B45" s="37" t="s">
        <v>26</v>
      </c>
      <c r="C45" s="16"/>
      <c r="D45" s="16"/>
      <c r="E45" s="10"/>
      <c r="F45" s="10"/>
      <c r="H45" s="46">
        <v>1.07</v>
      </c>
      <c r="I45" s="47">
        <v>0</v>
      </c>
    </row>
    <row r="46" spans="1:10" s="46" customFormat="1" ht="15" x14ac:dyDescent="0.2">
      <c r="A46" s="36" t="s">
        <v>97</v>
      </c>
      <c r="B46" s="37" t="s">
        <v>24</v>
      </c>
      <c r="C46" s="16"/>
      <c r="D46" s="16"/>
      <c r="E46" s="10"/>
      <c r="F46" s="10"/>
      <c r="H46" s="46">
        <v>1.07</v>
      </c>
      <c r="I46" s="47">
        <v>0</v>
      </c>
    </row>
    <row r="47" spans="1:10" s="46" customFormat="1" ht="15" x14ac:dyDescent="0.2">
      <c r="A47" s="36" t="s">
        <v>98</v>
      </c>
      <c r="B47" s="37" t="s">
        <v>99</v>
      </c>
      <c r="C47" s="16"/>
      <c r="D47" s="16"/>
      <c r="E47" s="10"/>
      <c r="F47" s="10"/>
      <c r="H47" s="46">
        <v>1.07</v>
      </c>
      <c r="I47" s="47">
        <v>0</v>
      </c>
    </row>
    <row r="48" spans="1:10" s="46" customFormat="1" ht="15" x14ac:dyDescent="0.2">
      <c r="A48" s="36" t="s">
        <v>100</v>
      </c>
      <c r="B48" s="37" t="s">
        <v>24</v>
      </c>
      <c r="C48" s="16"/>
      <c r="D48" s="16"/>
      <c r="E48" s="10"/>
      <c r="F48" s="10"/>
      <c r="I48" s="47"/>
    </row>
    <row r="49" spans="1:10" s="46" customFormat="1" ht="28.5" x14ac:dyDescent="0.2">
      <c r="A49" s="17" t="s">
        <v>28</v>
      </c>
      <c r="B49" s="164" t="s">
        <v>29</v>
      </c>
      <c r="C49" s="16" t="s">
        <v>134</v>
      </c>
      <c r="D49" s="16">
        <f>(127677.24*1.086)+1000</f>
        <v>139657.48000000001</v>
      </c>
      <c r="E49" s="10">
        <f>D49/G49</f>
        <v>54.47</v>
      </c>
      <c r="F49" s="10">
        <f>E49/12</f>
        <v>4.54</v>
      </c>
      <c r="G49" s="46">
        <v>2563.8000000000002</v>
      </c>
      <c r="H49" s="46">
        <v>1.07</v>
      </c>
      <c r="I49" s="47">
        <v>2.99</v>
      </c>
    </row>
    <row r="50" spans="1:10" s="46" customFormat="1" ht="25.5" x14ac:dyDescent="0.2">
      <c r="A50" s="31" t="s">
        <v>101</v>
      </c>
      <c r="B50" s="165" t="s">
        <v>29</v>
      </c>
      <c r="C50" s="16"/>
      <c r="D50" s="16"/>
      <c r="E50" s="10"/>
      <c r="F50" s="10"/>
      <c r="I50" s="47"/>
    </row>
    <row r="51" spans="1:10" s="46" customFormat="1" ht="15" x14ac:dyDescent="0.2">
      <c r="A51" s="31" t="s">
        <v>102</v>
      </c>
      <c r="B51" s="165" t="s">
        <v>103</v>
      </c>
      <c r="C51" s="16"/>
      <c r="D51" s="16"/>
      <c r="E51" s="10"/>
      <c r="F51" s="10"/>
      <c r="I51" s="47"/>
    </row>
    <row r="52" spans="1:10" s="46" customFormat="1" ht="15" x14ac:dyDescent="0.2">
      <c r="A52" s="31" t="s">
        <v>104</v>
      </c>
      <c r="B52" s="165" t="s">
        <v>12</v>
      </c>
      <c r="C52" s="16"/>
      <c r="D52" s="16"/>
      <c r="E52" s="10"/>
      <c r="F52" s="10"/>
      <c r="I52" s="47"/>
    </row>
    <row r="53" spans="1:10" s="53" customFormat="1" ht="25.5" x14ac:dyDescent="0.2">
      <c r="A53" s="31" t="s">
        <v>105</v>
      </c>
      <c r="B53" s="165" t="s">
        <v>26</v>
      </c>
      <c r="C53" s="16"/>
      <c r="D53" s="16"/>
      <c r="E53" s="10"/>
      <c r="F53" s="10"/>
      <c r="G53" s="46"/>
      <c r="H53" s="46"/>
      <c r="I53" s="47"/>
    </row>
    <row r="54" spans="1:10" s="53" customFormat="1" ht="23.25" customHeight="1" x14ac:dyDescent="0.2">
      <c r="A54" s="31" t="s">
        <v>165</v>
      </c>
      <c r="B54" s="165" t="s">
        <v>26</v>
      </c>
      <c r="C54" s="15" t="s">
        <v>134</v>
      </c>
      <c r="D54" s="15"/>
      <c r="E54" s="14"/>
      <c r="F54" s="14"/>
      <c r="G54" s="46">
        <v>2563.8000000000002</v>
      </c>
      <c r="H54" s="46"/>
      <c r="I54" s="47"/>
    </row>
    <row r="55" spans="1:10" s="53" customFormat="1" ht="30.75" customHeight="1" x14ac:dyDescent="0.2">
      <c r="A55" s="17" t="s">
        <v>106</v>
      </c>
      <c r="B55" s="9" t="s">
        <v>10</v>
      </c>
      <c r="C55" s="16" t="s">
        <v>135</v>
      </c>
      <c r="D55" s="16">
        <f>2439.99*G55/J55</f>
        <v>2054.4699999999998</v>
      </c>
      <c r="E55" s="10">
        <f>D55/G55</f>
        <v>0.8</v>
      </c>
      <c r="F55" s="10">
        <f t="shared" ref="F55:F57" si="0">E55/12</f>
        <v>7.0000000000000007E-2</v>
      </c>
      <c r="G55" s="46">
        <v>2563.8000000000002</v>
      </c>
      <c r="H55" s="46">
        <v>1.07</v>
      </c>
      <c r="I55" s="47">
        <v>0.04</v>
      </c>
      <c r="J55" s="53">
        <v>3044.9</v>
      </c>
    </row>
    <row r="56" spans="1:10" s="53" customFormat="1" ht="30" x14ac:dyDescent="0.2">
      <c r="A56" s="17" t="s">
        <v>107</v>
      </c>
      <c r="B56" s="9" t="s">
        <v>10</v>
      </c>
      <c r="C56" s="16" t="s">
        <v>135</v>
      </c>
      <c r="D56" s="16">
        <f>15405.72*G56/J56</f>
        <v>12971.59</v>
      </c>
      <c r="E56" s="10">
        <f>D56/G56</f>
        <v>5.0599999999999996</v>
      </c>
      <c r="F56" s="10">
        <f t="shared" si="0"/>
        <v>0.42</v>
      </c>
      <c r="G56" s="46">
        <v>2563.8000000000002</v>
      </c>
      <c r="H56" s="46">
        <v>1.07</v>
      </c>
      <c r="I56" s="47">
        <v>0</v>
      </c>
      <c r="J56" s="53">
        <v>3044.9</v>
      </c>
    </row>
    <row r="57" spans="1:10" s="53" customFormat="1" ht="22.5" customHeight="1" x14ac:dyDescent="0.2">
      <c r="A57" s="17" t="s">
        <v>167</v>
      </c>
      <c r="B57" s="9" t="s">
        <v>48</v>
      </c>
      <c r="C57" s="16" t="s">
        <v>135</v>
      </c>
      <c r="D57" s="16">
        <f>15405.68*G57/J57</f>
        <v>12971.55</v>
      </c>
      <c r="E57" s="10">
        <f>D57/G57</f>
        <v>5.0599999999999996</v>
      </c>
      <c r="F57" s="10">
        <f t="shared" si="0"/>
        <v>0.42</v>
      </c>
      <c r="G57" s="46">
        <v>2563.8000000000002</v>
      </c>
      <c r="H57" s="46"/>
      <c r="I57" s="47"/>
      <c r="J57" s="53">
        <v>3044.9</v>
      </c>
    </row>
    <row r="58" spans="1:10" s="53" customFormat="1" ht="30" x14ac:dyDescent="0.2">
      <c r="A58" s="17" t="s">
        <v>30</v>
      </c>
      <c r="B58" s="9"/>
      <c r="C58" s="16" t="s">
        <v>172</v>
      </c>
      <c r="D58" s="16">
        <f>E58*G58</f>
        <v>6768.43</v>
      </c>
      <c r="E58" s="10">
        <f>12*F58</f>
        <v>2.64</v>
      </c>
      <c r="F58" s="10">
        <v>0.22</v>
      </c>
      <c r="G58" s="46">
        <v>2563.8000000000002</v>
      </c>
      <c r="H58" s="46"/>
      <c r="I58" s="47"/>
    </row>
    <row r="59" spans="1:10" s="53" customFormat="1" ht="33.75" customHeight="1" x14ac:dyDescent="0.2">
      <c r="A59" s="31" t="s">
        <v>108</v>
      </c>
      <c r="B59" s="26" t="s">
        <v>71</v>
      </c>
      <c r="C59" s="16"/>
      <c r="D59" s="16"/>
      <c r="E59" s="10"/>
      <c r="F59" s="10"/>
      <c r="G59" s="46"/>
      <c r="H59" s="46"/>
      <c r="I59" s="47"/>
    </row>
    <row r="60" spans="1:10" s="53" customFormat="1" ht="24" customHeight="1" x14ac:dyDescent="0.2">
      <c r="A60" s="31" t="s">
        <v>109</v>
      </c>
      <c r="B60" s="26" t="s">
        <v>71</v>
      </c>
      <c r="C60" s="16"/>
      <c r="D60" s="16"/>
      <c r="E60" s="10"/>
      <c r="F60" s="10"/>
      <c r="G60" s="46"/>
      <c r="H60" s="46"/>
      <c r="I60" s="47"/>
    </row>
    <row r="61" spans="1:10" s="53" customFormat="1" ht="15" x14ac:dyDescent="0.2">
      <c r="A61" s="31" t="s">
        <v>110</v>
      </c>
      <c r="B61" s="26" t="s">
        <v>12</v>
      </c>
      <c r="C61" s="16"/>
      <c r="D61" s="16"/>
      <c r="E61" s="10"/>
      <c r="F61" s="10"/>
      <c r="G61" s="46"/>
      <c r="H61" s="46"/>
      <c r="I61" s="47"/>
    </row>
    <row r="62" spans="1:10" s="53" customFormat="1" ht="15" x14ac:dyDescent="0.2">
      <c r="A62" s="31" t="s">
        <v>111</v>
      </c>
      <c r="B62" s="26" t="s">
        <v>71</v>
      </c>
      <c r="C62" s="16"/>
      <c r="D62" s="16"/>
      <c r="E62" s="10"/>
      <c r="F62" s="10"/>
      <c r="G62" s="46"/>
      <c r="H62" s="46"/>
      <c r="I62" s="47"/>
    </row>
    <row r="63" spans="1:10" s="53" customFormat="1" ht="25.5" x14ac:dyDescent="0.2">
      <c r="A63" s="31" t="s">
        <v>112</v>
      </c>
      <c r="B63" s="26" t="s">
        <v>71</v>
      </c>
      <c r="C63" s="16"/>
      <c r="D63" s="16"/>
      <c r="E63" s="10"/>
      <c r="F63" s="10"/>
      <c r="G63" s="46"/>
      <c r="H63" s="46"/>
      <c r="I63" s="47"/>
    </row>
    <row r="64" spans="1:10" s="53" customFormat="1" ht="15" x14ac:dyDescent="0.2">
      <c r="A64" s="31" t="s">
        <v>113</v>
      </c>
      <c r="B64" s="26" t="s">
        <v>71</v>
      </c>
      <c r="C64" s="16"/>
      <c r="D64" s="16"/>
      <c r="E64" s="10"/>
      <c r="F64" s="10"/>
      <c r="G64" s="46"/>
      <c r="H64" s="46"/>
      <c r="I64" s="47"/>
    </row>
    <row r="65" spans="1:10" s="53" customFormat="1" ht="25.5" x14ac:dyDescent="0.2">
      <c r="A65" s="31" t="s">
        <v>114</v>
      </c>
      <c r="B65" s="26" t="s">
        <v>71</v>
      </c>
      <c r="C65" s="16"/>
      <c r="D65" s="16"/>
      <c r="E65" s="10"/>
      <c r="F65" s="10"/>
      <c r="G65" s="46"/>
      <c r="H65" s="46"/>
      <c r="I65" s="47"/>
    </row>
    <row r="66" spans="1:10" s="53" customFormat="1" ht="15" x14ac:dyDescent="0.2">
      <c r="A66" s="31" t="s">
        <v>115</v>
      </c>
      <c r="B66" s="26" t="s">
        <v>71</v>
      </c>
      <c r="C66" s="16"/>
      <c r="D66" s="16"/>
      <c r="E66" s="10"/>
      <c r="F66" s="10"/>
      <c r="G66" s="46"/>
      <c r="H66" s="46"/>
      <c r="I66" s="47"/>
    </row>
    <row r="67" spans="1:10" s="53" customFormat="1" ht="15" x14ac:dyDescent="0.2">
      <c r="A67" s="31" t="s">
        <v>116</v>
      </c>
      <c r="B67" s="26" t="s">
        <v>71</v>
      </c>
      <c r="C67" s="16"/>
      <c r="D67" s="16"/>
      <c r="E67" s="10"/>
      <c r="F67" s="10"/>
      <c r="G67" s="46"/>
      <c r="H67" s="46"/>
      <c r="I67" s="47"/>
    </row>
    <row r="68" spans="1:10" s="53" customFormat="1" ht="30" x14ac:dyDescent="0.2">
      <c r="A68" s="17" t="s">
        <v>162</v>
      </c>
      <c r="B68" s="26"/>
      <c r="C68" s="16"/>
      <c r="D68" s="16">
        <v>41280</v>
      </c>
      <c r="E68" s="10">
        <f>D68/G68</f>
        <v>16.100000000000001</v>
      </c>
      <c r="F68" s="10">
        <f>E68/12</f>
        <v>1.34</v>
      </c>
      <c r="G68" s="46">
        <v>2563.8000000000002</v>
      </c>
      <c r="H68" s="46"/>
      <c r="I68" s="47"/>
    </row>
    <row r="69" spans="1:10" s="46" customFormat="1" ht="15" x14ac:dyDescent="0.2">
      <c r="A69" s="17" t="s">
        <v>31</v>
      </c>
      <c r="B69" s="9" t="s">
        <v>32</v>
      </c>
      <c r="C69" s="16" t="s">
        <v>173</v>
      </c>
      <c r="D69" s="16">
        <f>E69*G69</f>
        <v>2461.25</v>
      </c>
      <c r="E69" s="10">
        <f>F69*12</f>
        <v>0.96</v>
      </c>
      <c r="F69" s="10">
        <v>0.08</v>
      </c>
      <c r="G69" s="46">
        <v>2563.8000000000002</v>
      </c>
      <c r="H69" s="46">
        <v>1.07</v>
      </c>
      <c r="I69" s="47">
        <v>0.03</v>
      </c>
      <c r="J69" s="46">
        <v>3044.9</v>
      </c>
    </row>
    <row r="70" spans="1:10" s="46" customFormat="1" ht="15" x14ac:dyDescent="0.2">
      <c r="A70" s="17" t="s">
        <v>33</v>
      </c>
      <c r="B70" s="18" t="s">
        <v>34</v>
      </c>
      <c r="C70" s="16" t="s">
        <v>173</v>
      </c>
      <c r="D70" s="16">
        <f>E70*G70</f>
        <v>1538.28</v>
      </c>
      <c r="E70" s="10">
        <f>12*F70</f>
        <v>0.6</v>
      </c>
      <c r="F70" s="10">
        <v>0.05</v>
      </c>
      <c r="G70" s="46">
        <v>2563.8000000000002</v>
      </c>
      <c r="H70" s="46">
        <v>1.07</v>
      </c>
      <c r="I70" s="47">
        <v>0.02</v>
      </c>
      <c r="J70" s="46">
        <v>3044.9</v>
      </c>
    </row>
    <row r="71" spans="1:10" s="67" customFormat="1" ht="30" x14ac:dyDescent="0.2">
      <c r="A71" s="17" t="s">
        <v>35</v>
      </c>
      <c r="B71" s="9"/>
      <c r="C71" s="16" t="s">
        <v>140</v>
      </c>
      <c r="D71" s="16">
        <f>3535*G71/J71</f>
        <v>2976.46</v>
      </c>
      <c r="E71" s="10">
        <f>D71/G71</f>
        <v>1.1599999999999999</v>
      </c>
      <c r="F71" s="10">
        <f>E71/12</f>
        <v>0.1</v>
      </c>
      <c r="G71" s="46">
        <v>2563.8000000000002</v>
      </c>
      <c r="H71" s="46">
        <v>1.07</v>
      </c>
      <c r="I71" s="47">
        <v>0.03</v>
      </c>
      <c r="J71" s="67">
        <v>3044.9</v>
      </c>
    </row>
    <row r="72" spans="1:10" s="67" customFormat="1" ht="22.5" customHeight="1" x14ac:dyDescent="0.2">
      <c r="A72" s="17" t="s">
        <v>36</v>
      </c>
      <c r="B72" s="9"/>
      <c r="C72" s="10" t="s">
        <v>174</v>
      </c>
      <c r="D72" s="10">
        <f>D73+D74+D75+D76+D77+D78+D79+D80+D81+D84+D82+D83</f>
        <v>21922.86</v>
      </c>
      <c r="E72" s="10">
        <f>D72/G72</f>
        <v>8.5500000000000007</v>
      </c>
      <c r="F72" s="10">
        <f>E72/12</f>
        <v>0.71</v>
      </c>
      <c r="G72" s="46">
        <v>2563.8000000000002</v>
      </c>
      <c r="H72" s="46">
        <v>1.07</v>
      </c>
      <c r="I72" s="47">
        <v>0.71</v>
      </c>
      <c r="J72" s="67">
        <v>3044.9</v>
      </c>
    </row>
    <row r="73" spans="1:10" s="53" customFormat="1" ht="15" x14ac:dyDescent="0.2">
      <c r="A73" s="20" t="s">
        <v>37</v>
      </c>
      <c r="B73" s="23" t="s">
        <v>26</v>
      </c>
      <c r="C73" s="29"/>
      <c r="D73" s="29">
        <f>389.23*G73/J73</f>
        <v>327.73</v>
      </c>
      <c r="E73" s="150"/>
      <c r="F73" s="150"/>
      <c r="G73" s="46">
        <v>2563.8000000000002</v>
      </c>
      <c r="H73" s="46">
        <v>1.07</v>
      </c>
      <c r="I73" s="47">
        <v>0.01</v>
      </c>
      <c r="J73" s="53">
        <v>3044.9</v>
      </c>
    </row>
    <row r="74" spans="1:10" s="53" customFormat="1" ht="15" x14ac:dyDescent="0.2">
      <c r="A74" s="20" t="s">
        <v>38</v>
      </c>
      <c r="B74" s="23" t="s">
        <v>27</v>
      </c>
      <c r="C74" s="29"/>
      <c r="D74" s="29">
        <f>1097.78*G74/J74</f>
        <v>924.33</v>
      </c>
      <c r="E74" s="150"/>
      <c r="F74" s="150"/>
      <c r="G74" s="46">
        <v>2563.8000000000002</v>
      </c>
      <c r="H74" s="46">
        <v>1.07</v>
      </c>
      <c r="I74" s="47">
        <v>0.01</v>
      </c>
      <c r="J74" s="53">
        <v>3044.9</v>
      </c>
    </row>
    <row r="75" spans="1:10" s="53" customFormat="1" ht="15" x14ac:dyDescent="0.2">
      <c r="A75" s="20" t="s">
        <v>69</v>
      </c>
      <c r="B75" s="23" t="s">
        <v>26</v>
      </c>
      <c r="C75" s="29"/>
      <c r="D75" s="29">
        <f>1956.15*G75/J75</f>
        <v>1647.07</v>
      </c>
      <c r="E75" s="150"/>
      <c r="F75" s="150"/>
      <c r="G75" s="46">
        <v>2563.8000000000002</v>
      </c>
      <c r="H75" s="46"/>
      <c r="I75" s="47"/>
      <c r="J75" s="53">
        <v>3044.9</v>
      </c>
    </row>
    <row r="76" spans="1:10" s="53" customFormat="1" ht="15" x14ac:dyDescent="0.2">
      <c r="A76" s="166" t="s">
        <v>119</v>
      </c>
      <c r="B76" s="23" t="s">
        <v>48</v>
      </c>
      <c r="C76" s="150"/>
      <c r="D76" s="150">
        <v>0</v>
      </c>
      <c r="E76" s="150"/>
      <c r="F76" s="150"/>
      <c r="G76" s="46">
        <v>2563.8000000000002</v>
      </c>
      <c r="H76" s="46">
        <v>1.07</v>
      </c>
      <c r="I76" s="47">
        <v>0.27</v>
      </c>
      <c r="J76" s="53">
        <v>3044.9</v>
      </c>
    </row>
    <row r="77" spans="1:10" s="53" customFormat="1" ht="15" x14ac:dyDescent="0.2">
      <c r="A77" s="20" t="s">
        <v>39</v>
      </c>
      <c r="B77" s="23" t="s">
        <v>26</v>
      </c>
      <c r="C77" s="29"/>
      <c r="D77" s="29">
        <f>2092*G77/J77</f>
        <v>1761.46</v>
      </c>
      <c r="E77" s="150"/>
      <c r="F77" s="150"/>
      <c r="G77" s="46">
        <v>2563.8000000000002</v>
      </c>
      <c r="H77" s="46">
        <v>1.07</v>
      </c>
      <c r="I77" s="47">
        <v>0.02</v>
      </c>
      <c r="J77" s="53">
        <v>3044.9</v>
      </c>
    </row>
    <row r="78" spans="1:10" s="53" customFormat="1" ht="15" x14ac:dyDescent="0.2">
      <c r="A78" s="20" t="s">
        <v>40</v>
      </c>
      <c r="B78" s="23" t="s">
        <v>26</v>
      </c>
      <c r="C78" s="29"/>
      <c r="D78" s="29">
        <f>6995.08*G78/J78</f>
        <v>5889.84</v>
      </c>
      <c r="E78" s="150"/>
      <c r="F78" s="150"/>
      <c r="G78" s="46">
        <v>2563.8000000000002</v>
      </c>
      <c r="H78" s="46">
        <v>1.07</v>
      </c>
      <c r="I78" s="47">
        <v>0.1</v>
      </c>
      <c r="J78" s="53">
        <v>3044.9</v>
      </c>
    </row>
    <row r="79" spans="1:10" s="53" customFormat="1" ht="15" x14ac:dyDescent="0.2">
      <c r="A79" s="20" t="s">
        <v>70</v>
      </c>
      <c r="B79" s="23" t="s">
        <v>26</v>
      </c>
      <c r="C79" s="29"/>
      <c r="D79" s="29">
        <f>1097.78*G79/J79</f>
        <v>924.33</v>
      </c>
      <c r="E79" s="150"/>
      <c r="F79" s="150"/>
      <c r="G79" s="46">
        <v>2563.8000000000002</v>
      </c>
      <c r="H79" s="46">
        <v>1.07</v>
      </c>
      <c r="I79" s="47">
        <v>0.02</v>
      </c>
      <c r="J79" s="53">
        <v>3044.9</v>
      </c>
    </row>
    <row r="80" spans="1:10" s="53" customFormat="1" ht="15" x14ac:dyDescent="0.2">
      <c r="A80" s="20" t="s">
        <v>41</v>
      </c>
      <c r="B80" s="23" t="s">
        <v>26</v>
      </c>
      <c r="C80" s="29"/>
      <c r="D80" s="29">
        <f>1045.98*G80/J80</f>
        <v>880.71</v>
      </c>
      <c r="E80" s="150"/>
      <c r="F80" s="150"/>
      <c r="G80" s="46">
        <v>2563.8000000000002</v>
      </c>
      <c r="H80" s="46">
        <v>1.07</v>
      </c>
      <c r="I80" s="47">
        <v>0.01</v>
      </c>
      <c r="J80" s="53">
        <v>3044.9</v>
      </c>
    </row>
    <row r="81" spans="1:10" s="53" customFormat="1" ht="15" x14ac:dyDescent="0.2">
      <c r="A81" s="20" t="s">
        <v>42</v>
      </c>
      <c r="B81" s="23" t="s">
        <v>27</v>
      </c>
      <c r="C81" s="29"/>
      <c r="D81" s="29">
        <v>0</v>
      </c>
      <c r="E81" s="150"/>
      <c r="F81" s="150"/>
      <c r="G81" s="46">
        <v>2563.8000000000002</v>
      </c>
      <c r="H81" s="46">
        <v>1.07</v>
      </c>
      <c r="I81" s="47">
        <v>0.04</v>
      </c>
      <c r="J81" s="53">
        <v>3044.9</v>
      </c>
    </row>
    <row r="82" spans="1:10" s="53" customFormat="1" ht="25.5" x14ac:dyDescent="0.2">
      <c r="A82" s="20" t="s">
        <v>43</v>
      </c>
      <c r="B82" s="23" t="s">
        <v>26</v>
      </c>
      <c r="C82" s="29"/>
      <c r="D82" s="29">
        <f>3452.6*G82/J82</f>
        <v>2907.08</v>
      </c>
      <c r="E82" s="150"/>
      <c r="F82" s="150"/>
      <c r="G82" s="46">
        <v>2563.8000000000002</v>
      </c>
      <c r="H82" s="46">
        <v>1.07</v>
      </c>
      <c r="I82" s="47">
        <v>0.06</v>
      </c>
      <c r="J82" s="53">
        <v>3044.9</v>
      </c>
    </row>
    <row r="83" spans="1:10" s="53" customFormat="1" ht="30" customHeight="1" x14ac:dyDescent="0.2">
      <c r="A83" s="20" t="s">
        <v>163</v>
      </c>
      <c r="B83" s="23" t="s">
        <v>26</v>
      </c>
      <c r="C83" s="29"/>
      <c r="D83" s="29">
        <f>674.01*G83/J83</f>
        <v>567.52</v>
      </c>
      <c r="E83" s="150"/>
      <c r="F83" s="150"/>
      <c r="G83" s="46">
        <v>2563.8000000000002</v>
      </c>
      <c r="H83" s="46"/>
      <c r="I83" s="47"/>
      <c r="J83" s="53">
        <v>3044.9</v>
      </c>
    </row>
    <row r="84" spans="1:10" s="53" customFormat="1" ht="22.5" customHeight="1" x14ac:dyDescent="0.2">
      <c r="A84" s="20" t="s">
        <v>44</v>
      </c>
      <c r="B84" s="23" t="s">
        <v>26</v>
      </c>
      <c r="C84" s="29"/>
      <c r="D84" s="29">
        <f>7236.11*G84/J84</f>
        <v>6092.79</v>
      </c>
      <c r="E84" s="150"/>
      <c r="F84" s="150"/>
      <c r="G84" s="46">
        <v>2563.8000000000002</v>
      </c>
      <c r="H84" s="46">
        <v>1.07</v>
      </c>
      <c r="I84" s="47">
        <v>0.01</v>
      </c>
      <c r="J84" s="53">
        <v>3044.9</v>
      </c>
    </row>
    <row r="85" spans="1:10" s="53" customFormat="1" ht="25.5" x14ac:dyDescent="0.2">
      <c r="A85" s="20" t="s">
        <v>117</v>
      </c>
      <c r="B85" s="23" t="s">
        <v>118</v>
      </c>
      <c r="C85" s="38"/>
      <c r="D85" s="29">
        <v>0</v>
      </c>
      <c r="E85" s="150"/>
      <c r="F85" s="150"/>
      <c r="G85" s="46">
        <v>2563.8000000000002</v>
      </c>
      <c r="H85" s="46"/>
      <c r="I85" s="47"/>
      <c r="J85" s="53">
        <v>3044.9</v>
      </c>
    </row>
    <row r="86" spans="1:10" s="53" customFormat="1" ht="15" x14ac:dyDescent="0.2">
      <c r="A86" s="20" t="s">
        <v>120</v>
      </c>
      <c r="B86" s="23" t="s">
        <v>26</v>
      </c>
      <c r="C86" s="29"/>
      <c r="D86" s="29">
        <v>0</v>
      </c>
      <c r="E86" s="150"/>
      <c r="F86" s="150"/>
      <c r="G86" s="46">
        <v>2563.8000000000002</v>
      </c>
      <c r="H86" s="46"/>
      <c r="I86" s="47"/>
      <c r="J86" s="53">
        <v>3044.9</v>
      </c>
    </row>
    <row r="87" spans="1:10" s="67" customFormat="1" ht="30" x14ac:dyDescent="0.2">
      <c r="A87" s="17" t="s">
        <v>45</v>
      </c>
      <c r="B87" s="9"/>
      <c r="C87" s="10" t="s">
        <v>175</v>
      </c>
      <c r="D87" s="10">
        <f>D88+D89+D90+D91+D92+D93</f>
        <v>27856.65</v>
      </c>
      <c r="E87" s="10">
        <f>D87/G87</f>
        <v>10.87</v>
      </c>
      <c r="F87" s="10">
        <f>E87/12</f>
        <v>0.91</v>
      </c>
      <c r="G87" s="46">
        <v>2563.8000000000002</v>
      </c>
      <c r="H87" s="46">
        <v>1.07</v>
      </c>
      <c r="I87" s="47">
        <v>0.85</v>
      </c>
      <c r="J87" s="67">
        <v>3044.9</v>
      </c>
    </row>
    <row r="88" spans="1:10" s="53" customFormat="1" ht="25.5" x14ac:dyDescent="0.2">
      <c r="A88" s="20" t="s">
        <v>121</v>
      </c>
      <c r="B88" s="23" t="s">
        <v>27</v>
      </c>
      <c r="C88" s="29"/>
      <c r="D88" s="29">
        <f>25643.5*G88/J88</f>
        <v>21591.78</v>
      </c>
      <c r="E88" s="150"/>
      <c r="F88" s="150"/>
      <c r="G88" s="46">
        <v>2563.8000000000002</v>
      </c>
      <c r="H88" s="46">
        <v>3044.9</v>
      </c>
      <c r="I88" s="46">
        <v>3044.9</v>
      </c>
      <c r="J88" s="53">
        <v>3044.9</v>
      </c>
    </row>
    <row r="89" spans="1:10" s="53" customFormat="1" ht="25.5" x14ac:dyDescent="0.2">
      <c r="A89" s="20" t="s">
        <v>46</v>
      </c>
      <c r="B89" s="23" t="s">
        <v>47</v>
      </c>
      <c r="C89" s="29"/>
      <c r="D89" s="29">
        <v>0</v>
      </c>
      <c r="E89" s="150"/>
      <c r="F89" s="150"/>
      <c r="G89" s="46">
        <v>2563.8000000000002</v>
      </c>
      <c r="H89" s="46">
        <v>1.07</v>
      </c>
      <c r="I89" s="47">
        <v>0.04</v>
      </c>
      <c r="J89" s="53">
        <v>3044.9</v>
      </c>
    </row>
    <row r="90" spans="1:10" s="53" customFormat="1" ht="21" customHeight="1" x14ac:dyDescent="0.2">
      <c r="A90" s="20" t="s">
        <v>49</v>
      </c>
      <c r="B90" s="23" t="s">
        <v>10</v>
      </c>
      <c r="C90" s="38"/>
      <c r="D90" s="29">
        <f>7440.48*G90/J90</f>
        <v>6264.87</v>
      </c>
      <c r="E90" s="150"/>
      <c r="F90" s="150"/>
      <c r="G90" s="46">
        <v>2563.8000000000002</v>
      </c>
      <c r="H90" s="46">
        <v>1.07</v>
      </c>
      <c r="I90" s="47">
        <v>0.14000000000000001</v>
      </c>
      <c r="J90" s="53">
        <v>3044.9</v>
      </c>
    </row>
    <row r="91" spans="1:10" s="83" customFormat="1" ht="25.5" x14ac:dyDescent="0.2">
      <c r="A91" s="20" t="s">
        <v>117</v>
      </c>
      <c r="B91" s="23" t="s">
        <v>118</v>
      </c>
      <c r="C91" s="38"/>
      <c r="D91" s="38">
        <v>0</v>
      </c>
      <c r="E91" s="167"/>
      <c r="F91" s="167"/>
      <c r="G91" s="46">
        <v>2563.8000000000002</v>
      </c>
      <c r="H91" s="46"/>
      <c r="I91" s="47"/>
      <c r="J91" s="83">
        <v>3044.9</v>
      </c>
    </row>
    <row r="92" spans="1:10" s="83" customFormat="1" ht="20.25" customHeight="1" x14ac:dyDescent="0.2">
      <c r="A92" s="20" t="s">
        <v>122</v>
      </c>
      <c r="B92" s="23" t="s">
        <v>26</v>
      </c>
      <c r="C92" s="38"/>
      <c r="D92" s="38">
        <v>0</v>
      </c>
      <c r="E92" s="167"/>
      <c r="F92" s="167"/>
      <c r="G92" s="46">
        <v>2563.8000000000002</v>
      </c>
      <c r="H92" s="46"/>
      <c r="I92" s="47"/>
      <c r="J92" s="83">
        <v>3044.9</v>
      </c>
    </row>
    <row r="93" spans="1:10" s="83" customFormat="1" ht="19.5" customHeight="1" x14ac:dyDescent="0.2">
      <c r="A93" s="166" t="s">
        <v>123</v>
      </c>
      <c r="B93" s="23" t="s">
        <v>48</v>
      </c>
      <c r="C93" s="38"/>
      <c r="D93" s="38">
        <v>0</v>
      </c>
      <c r="E93" s="167"/>
      <c r="F93" s="167"/>
      <c r="G93" s="46">
        <v>2563.8000000000002</v>
      </c>
      <c r="H93" s="46"/>
      <c r="I93" s="47"/>
      <c r="J93" s="83">
        <v>3044.9</v>
      </c>
    </row>
    <row r="94" spans="1:10" s="53" customFormat="1" ht="30" x14ac:dyDescent="0.2">
      <c r="A94" s="17" t="s">
        <v>50</v>
      </c>
      <c r="B94" s="23"/>
      <c r="C94" s="10" t="s">
        <v>176</v>
      </c>
      <c r="D94" s="10">
        <f>D95</f>
        <v>0</v>
      </c>
      <c r="E94" s="10">
        <f>D94/G94</f>
        <v>0</v>
      </c>
      <c r="F94" s="10">
        <f>E94/12</f>
        <v>0</v>
      </c>
      <c r="G94" s="46">
        <v>2563.8000000000002</v>
      </c>
      <c r="H94" s="46">
        <v>1.07</v>
      </c>
      <c r="I94" s="47">
        <v>0.41</v>
      </c>
      <c r="J94" s="53">
        <v>3044.9</v>
      </c>
    </row>
    <row r="95" spans="1:10" s="53" customFormat="1" ht="21" customHeight="1" x14ac:dyDescent="0.2">
      <c r="A95" s="20" t="s">
        <v>51</v>
      </c>
      <c r="B95" s="23" t="s">
        <v>48</v>
      </c>
      <c r="C95" s="29"/>
      <c r="D95" s="29">
        <v>0</v>
      </c>
      <c r="E95" s="150"/>
      <c r="F95" s="150"/>
      <c r="G95" s="46">
        <v>2563.8000000000002</v>
      </c>
      <c r="H95" s="46">
        <v>1.07</v>
      </c>
      <c r="I95" s="47">
        <v>0.27</v>
      </c>
      <c r="J95" s="53">
        <v>3044.9</v>
      </c>
    </row>
    <row r="96" spans="1:10" s="53" customFormat="1" ht="25.5" x14ac:dyDescent="0.2">
      <c r="A96" s="20" t="s">
        <v>117</v>
      </c>
      <c r="B96" s="23" t="s">
        <v>118</v>
      </c>
      <c r="C96" s="38"/>
      <c r="D96" s="38">
        <v>0</v>
      </c>
      <c r="E96" s="167"/>
      <c r="F96" s="167"/>
      <c r="G96" s="46">
        <v>2563.8000000000002</v>
      </c>
      <c r="H96" s="46"/>
      <c r="I96" s="47"/>
      <c r="J96" s="53">
        <v>3044.9</v>
      </c>
    </row>
    <row r="97" spans="1:10" s="53" customFormat="1" ht="15" x14ac:dyDescent="0.2">
      <c r="A97" s="20" t="s">
        <v>124</v>
      </c>
      <c r="B97" s="23" t="s">
        <v>26</v>
      </c>
      <c r="C97" s="38"/>
      <c r="D97" s="38">
        <v>0</v>
      </c>
      <c r="E97" s="167"/>
      <c r="F97" s="167"/>
      <c r="G97" s="46">
        <v>2563.8000000000002</v>
      </c>
      <c r="H97" s="46"/>
      <c r="I97" s="47"/>
      <c r="J97" s="53">
        <v>3044.9</v>
      </c>
    </row>
    <row r="98" spans="1:10" s="53" customFormat="1" ht="15" x14ac:dyDescent="0.2">
      <c r="A98" s="166" t="s">
        <v>125</v>
      </c>
      <c r="B98" s="23" t="s">
        <v>48</v>
      </c>
      <c r="C98" s="38"/>
      <c r="D98" s="38">
        <v>0</v>
      </c>
      <c r="E98" s="167"/>
      <c r="F98" s="167"/>
      <c r="G98" s="46">
        <v>2563.8000000000002</v>
      </c>
      <c r="H98" s="46"/>
      <c r="I98" s="47"/>
      <c r="J98" s="53">
        <v>3044.9</v>
      </c>
    </row>
    <row r="99" spans="1:10" s="53" customFormat="1" ht="17.25" customHeight="1" x14ac:dyDescent="0.2">
      <c r="A99" s="17" t="s">
        <v>126</v>
      </c>
      <c r="B99" s="23"/>
      <c r="C99" s="10" t="s">
        <v>179</v>
      </c>
      <c r="D99" s="10">
        <f>D100+D101+D102+D103+D104+D105+D106</f>
        <v>8625.59</v>
      </c>
      <c r="E99" s="10">
        <f>D99/G99</f>
        <v>3.36</v>
      </c>
      <c r="F99" s="10">
        <f>E99/12</f>
        <v>0.28000000000000003</v>
      </c>
      <c r="G99" s="46">
        <v>2563.8000000000002</v>
      </c>
      <c r="H99" s="46">
        <v>1.07</v>
      </c>
      <c r="I99" s="47">
        <v>0.18</v>
      </c>
      <c r="J99" s="53">
        <v>3044.9</v>
      </c>
    </row>
    <row r="100" spans="1:10" s="53" customFormat="1" ht="23.25" customHeight="1" x14ac:dyDescent="0.2">
      <c r="A100" s="20" t="s">
        <v>52</v>
      </c>
      <c r="B100" s="23" t="s">
        <v>10</v>
      </c>
      <c r="C100" s="29"/>
      <c r="D100" s="29">
        <f t="shared" ref="D100:D105" si="1">E100*G100</f>
        <v>0</v>
      </c>
      <c r="E100" s="150"/>
      <c r="F100" s="150"/>
      <c r="G100" s="46">
        <v>2563.8000000000002</v>
      </c>
      <c r="H100" s="46">
        <v>1.07</v>
      </c>
      <c r="I100" s="47">
        <v>0</v>
      </c>
    </row>
    <row r="101" spans="1:10" s="53" customFormat="1" ht="45" customHeight="1" x14ac:dyDescent="0.2">
      <c r="A101" s="20" t="s">
        <v>127</v>
      </c>
      <c r="B101" s="23" t="s">
        <v>26</v>
      </c>
      <c r="C101" s="29"/>
      <c r="D101" s="29">
        <v>7532.19</v>
      </c>
      <c r="E101" s="150"/>
      <c r="F101" s="150"/>
      <c r="G101" s="46">
        <v>2563.8000000000002</v>
      </c>
      <c r="H101" s="46">
        <v>1.07</v>
      </c>
      <c r="I101" s="47">
        <v>0.16</v>
      </c>
    </row>
    <row r="102" spans="1:10" s="53" customFormat="1" ht="38.25" x14ac:dyDescent="0.2">
      <c r="A102" s="20" t="s">
        <v>128</v>
      </c>
      <c r="B102" s="23" t="s">
        <v>26</v>
      </c>
      <c r="C102" s="29"/>
      <c r="D102" s="29">
        <v>1093.4000000000001</v>
      </c>
      <c r="E102" s="150"/>
      <c r="F102" s="150"/>
      <c r="G102" s="46">
        <v>2563.8000000000002</v>
      </c>
      <c r="H102" s="46">
        <v>1.07</v>
      </c>
      <c r="I102" s="47">
        <v>0.02</v>
      </c>
    </row>
    <row r="103" spans="1:10" s="53" customFormat="1" ht="27.75" customHeight="1" x14ac:dyDescent="0.2">
      <c r="A103" s="20" t="s">
        <v>54</v>
      </c>
      <c r="B103" s="23" t="s">
        <v>18</v>
      </c>
      <c r="C103" s="29"/>
      <c r="D103" s="29">
        <f t="shared" si="1"/>
        <v>0</v>
      </c>
      <c r="E103" s="150"/>
      <c r="F103" s="150"/>
      <c r="G103" s="46">
        <v>2563.8000000000002</v>
      </c>
      <c r="H103" s="46">
        <v>1.07</v>
      </c>
      <c r="I103" s="47">
        <v>0</v>
      </c>
    </row>
    <row r="104" spans="1:10" s="53" customFormat="1" ht="18.75" customHeight="1" x14ac:dyDescent="0.2">
      <c r="A104" s="20" t="s">
        <v>53</v>
      </c>
      <c r="B104" s="23" t="s">
        <v>55</v>
      </c>
      <c r="C104" s="29"/>
      <c r="D104" s="29">
        <f t="shared" si="1"/>
        <v>0</v>
      </c>
      <c r="E104" s="150"/>
      <c r="F104" s="150"/>
      <c r="G104" s="46">
        <v>2563.8000000000002</v>
      </c>
      <c r="H104" s="46">
        <v>1.07</v>
      </c>
      <c r="I104" s="47">
        <v>0</v>
      </c>
    </row>
    <row r="105" spans="1:10" s="53" customFormat="1" ht="57.75" customHeight="1" x14ac:dyDescent="0.2">
      <c r="A105" s="20" t="s">
        <v>129</v>
      </c>
      <c r="B105" s="23" t="s">
        <v>71</v>
      </c>
      <c r="C105" s="29"/>
      <c r="D105" s="29">
        <f t="shared" si="1"/>
        <v>0</v>
      </c>
      <c r="E105" s="150"/>
      <c r="F105" s="150"/>
      <c r="G105" s="46">
        <v>2563.8000000000002</v>
      </c>
      <c r="H105" s="46">
        <v>1.07</v>
      </c>
      <c r="I105" s="47">
        <v>0</v>
      </c>
    </row>
    <row r="106" spans="1:10" s="53" customFormat="1" ht="22.5" customHeight="1" x14ac:dyDescent="0.2">
      <c r="A106" s="20" t="s">
        <v>138</v>
      </c>
      <c r="B106" s="23" t="s">
        <v>48</v>
      </c>
      <c r="C106" s="38"/>
      <c r="D106" s="38">
        <v>0</v>
      </c>
      <c r="E106" s="167"/>
      <c r="F106" s="167"/>
      <c r="G106" s="46">
        <v>2563.8000000000002</v>
      </c>
      <c r="H106" s="46"/>
      <c r="I106" s="47"/>
    </row>
    <row r="107" spans="1:10" s="53" customFormat="1" ht="20.25" customHeight="1" x14ac:dyDescent="0.2">
      <c r="A107" s="17" t="s">
        <v>56</v>
      </c>
      <c r="B107" s="23"/>
      <c r="C107" s="10" t="s">
        <v>177</v>
      </c>
      <c r="D107" s="10">
        <f>D108</f>
        <v>0</v>
      </c>
      <c r="E107" s="10">
        <f>D107/G107</f>
        <v>0</v>
      </c>
      <c r="F107" s="10">
        <f>E107/12</f>
        <v>0</v>
      </c>
      <c r="G107" s="46">
        <v>2563.8000000000002</v>
      </c>
      <c r="H107" s="46">
        <v>1.07</v>
      </c>
      <c r="I107" s="47">
        <v>0.12</v>
      </c>
    </row>
    <row r="108" spans="1:10" s="53" customFormat="1" ht="20.25" customHeight="1" x14ac:dyDescent="0.2">
      <c r="A108" s="20" t="s">
        <v>57</v>
      </c>
      <c r="B108" s="23" t="s">
        <v>26</v>
      </c>
      <c r="C108" s="29"/>
      <c r="D108" s="29">
        <v>0</v>
      </c>
      <c r="E108" s="150"/>
      <c r="F108" s="150"/>
      <c r="G108" s="46">
        <v>2563.8000000000002</v>
      </c>
      <c r="H108" s="46">
        <v>1.07</v>
      </c>
      <c r="I108" s="47">
        <v>0.02</v>
      </c>
      <c r="J108" s="53">
        <v>3044.9</v>
      </c>
    </row>
    <row r="109" spans="1:10" s="46" customFormat="1" ht="30" x14ac:dyDescent="0.2">
      <c r="A109" s="17" t="s">
        <v>58</v>
      </c>
      <c r="B109" s="9"/>
      <c r="C109" s="10" t="s">
        <v>178</v>
      </c>
      <c r="D109" s="10">
        <f>D110+D111</f>
        <v>12480</v>
      </c>
      <c r="E109" s="10">
        <f>D109/G109</f>
        <v>4.87</v>
      </c>
      <c r="F109" s="10">
        <f>E109/12</f>
        <v>0.41</v>
      </c>
      <c r="G109" s="46">
        <v>2563.8000000000002</v>
      </c>
      <c r="H109" s="46">
        <v>1.07</v>
      </c>
      <c r="I109" s="47">
        <v>0.64</v>
      </c>
    </row>
    <row r="110" spans="1:10" s="53" customFormat="1" ht="46.5" customHeight="1" x14ac:dyDescent="0.2">
      <c r="A110" s="31" t="s">
        <v>130</v>
      </c>
      <c r="B110" s="23" t="s">
        <v>27</v>
      </c>
      <c r="C110" s="29"/>
      <c r="D110" s="29">
        <v>12480</v>
      </c>
      <c r="E110" s="150"/>
      <c r="F110" s="150"/>
      <c r="G110" s="46">
        <v>2563.8000000000002</v>
      </c>
      <c r="H110" s="46">
        <v>1.07</v>
      </c>
      <c r="I110" s="47">
        <v>0.04</v>
      </c>
    </row>
    <row r="111" spans="1:10" s="53" customFormat="1" ht="27" customHeight="1" x14ac:dyDescent="0.2">
      <c r="A111" s="31" t="s">
        <v>168</v>
      </c>
      <c r="B111" s="23" t="s">
        <v>71</v>
      </c>
      <c r="C111" s="29"/>
      <c r="D111" s="29">
        <v>0</v>
      </c>
      <c r="E111" s="150"/>
      <c r="F111" s="150"/>
      <c r="G111" s="46">
        <v>2563.8000000000002</v>
      </c>
      <c r="H111" s="46">
        <v>1.07</v>
      </c>
      <c r="I111" s="47">
        <v>0.6</v>
      </c>
    </row>
    <row r="112" spans="1:10" s="46" customFormat="1" ht="15" x14ac:dyDescent="0.2">
      <c r="A112" s="17" t="s">
        <v>59</v>
      </c>
      <c r="B112" s="9"/>
      <c r="C112" s="10" t="s">
        <v>173</v>
      </c>
      <c r="D112" s="10">
        <f>D113+D114</f>
        <v>0</v>
      </c>
      <c r="E112" s="10">
        <f>D112/G112</f>
        <v>0</v>
      </c>
      <c r="F112" s="10">
        <f>E112/12</f>
        <v>0</v>
      </c>
      <c r="G112" s="46">
        <v>2563.8000000000002</v>
      </c>
      <c r="H112" s="46">
        <v>1.07</v>
      </c>
      <c r="I112" s="47">
        <v>0.05</v>
      </c>
    </row>
    <row r="113" spans="1:10" s="53" customFormat="1" ht="15" x14ac:dyDescent="0.2">
      <c r="A113" s="20" t="s">
        <v>74</v>
      </c>
      <c r="B113" s="23" t="s">
        <v>60</v>
      </c>
      <c r="C113" s="29"/>
      <c r="D113" s="29">
        <v>0</v>
      </c>
      <c r="E113" s="150"/>
      <c r="F113" s="150"/>
      <c r="G113" s="46">
        <v>2563.8000000000002</v>
      </c>
      <c r="H113" s="46">
        <v>1.07</v>
      </c>
      <c r="I113" s="47">
        <v>0.03</v>
      </c>
    </row>
    <row r="114" spans="1:10" s="53" customFormat="1" ht="15" x14ac:dyDescent="0.2">
      <c r="A114" s="20" t="s">
        <v>61</v>
      </c>
      <c r="B114" s="23" t="s">
        <v>60</v>
      </c>
      <c r="C114" s="29"/>
      <c r="D114" s="29">
        <v>0</v>
      </c>
      <c r="E114" s="150"/>
      <c r="F114" s="150"/>
      <c r="G114" s="46">
        <v>2563.8000000000002</v>
      </c>
      <c r="H114" s="46">
        <v>1.07</v>
      </c>
      <c r="I114" s="47">
        <v>0.02</v>
      </c>
    </row>
    <row r="115" spans="1:10" s="46" customFormat="1" ht="129.75" x14ac:dyDescent="0.2">
      <c r="A115" s="17" t="s">
        <v>185</v>
      </c>
      <c r="B115" s="9" t="s">
        <v>18</v>
      </c>
      <c r="C115" s="168"/>
      <c r="D115" s="19">
        <v>50000</v>
      </c>
      <c r="E115" s="19">
        <f>D115/G115</f>
        <v>19.5</v>
      </c>
      <c r="F115" s="19">
        <f>E115/12</f>
        <v>1.63</v>
      </c>
      <c r="G115" s="46">
        <v>2563.8000000000002</v>
      </c>
      <c r="H115" s="46">
        <v>1.07</v>
      </c>
      <c r="I115" s="47">
        <v>0.3</v>
      </c>
    </row>
    <row r="116" spans="1:10" s="46" customFormat="1" ht="18.75" x14ac:dyDescent="0.2">
      <c r="A116" s="25" t="s">
        <v>180</v>
      </c>
      <c r="B116" s="9" t="s">
        <v>10</v>
      </c>
      <c r="C116" s="168"/>
      <c r="D116" s="168">
        <f>(12004.62+1948.84)*G116/J116</f>
        <v>11748.79</v>
      </c>
      <c r="E116" s="168">
        <f>D116/G116</f>
        <v>4.58</v>
      </c>
      <c r="F116" s="168">
        <f>E116/12</f>
        <v>0.38</v>
      </c>
      <c r="G116" s="46">
        <v>2563.8000000000002</v>
      </c>
      <c r="I116" s="47"/>
      <c r="J116" s="46">
        <v>3044.9</v>
      </c>
    </row>
    <row r="117" spans="1:10" s="46" customFormat="1" ht="18.75" x14ac:dyDescent="0.2">
      <c r="A117" s="25" t="s">
        <v>181</v>
      </c>
      <c r="B117" s="9" t="s">
        <v>10</v>
      </c>
      <c r="C117" s="169"/>
      <c r="D117" s="168">
        <f>(1948.84+8101.03+4423.71)*G117/J117</f>
        <v>12186.73</v>
      </c>
      <c r="E117" s="168">
        <f t="shared" ref="E117:E119" si="2">D117/G117</f>
        <v>4.75</v>
      </c>
      <c r="F117" s="168">
        <f t="shared" ref="F117:F119" si="3">E117/12</f>
        <v>0.4</v>
      </c>
      <c r="G117" s="46">
        <v>2563.8000000000002</v>
      </c>
      <c r="I117" s="47"/>
      <c r="J117" s="46">
        <v>3044.9</v>
      </c>
    </row>
    <row r="118" spans="1:10" s="46" customFormat="1" ht="18.75" x14ac:dyDescent="0.2">
      <c r="A118" s="25" t="s">
        <v>182</v>
      </c>
      <c r="B118" s="9" t="s">
        <v>10</v>
      </c>
      <c r="C118" s="169"/>
      <c r="D118" s="168">
        <f>53980.38*G118/J118</f>
        <v>45451.38</v>
      </c>
      <c r="E118" s="168">
        <f t="shared" si="2"/>
        <v>17.73</v>
      </c>
      <c r="F118" s="168">
        <f t="shared" si="3"/>
        <v>1.48</v>
      </c>
      <c r="G118" s="46">
        <v>2563.8000000000002</v>
      </c>
      <c r="I118" s="47"/>
      <c r="J118" s="46">
        <v>3044.9</v>
      </c>
    </row>
    <row r="119" spans="1:10" s="46" customFormat="1" ht="19.5" thickBot="1" x14ac:dyDescent="0.25">
      <c r="A119" s="25" t="s">
        <v>183</v>
      </c>
      <c r="B119" s="9" t="s">
        <v>10</v>
      </c>
      <c r="C119" s="169"/>
      <c r="D119" s="168">
        <f>16151.77*G119/J119</f>
        <v>13599.76</v>
      </c>
      <c r="E119" s="168">
        <f t="shared" si="2"/>
        <v>5.3</v>
      </c>
      <c r="F119" s="168">
        <f t="shared" si="3"/>
        <v>0.44</v>
      </c>
      <c r="G119" s="46">
        <v>2563.8000000000002</v>
      </c>
      <c r="I119" s="47"/>
      <c r="J119" s="46">
        <v>3044.9</v>
      </c>
    </row>
    <row r="120" spans="1:10" s="46" customFormat="1" ht="30.75" thickBot="1" x14ac:dyDescent="0.25">
      <c r="A120" s="170" t="s">
        <v>62</v>
      </c>
      <c r="B120" s="171" t="s">
        <v>170</v>
      </c>
      <c r="C120" s="168"/>
      <c r="D120" s="39">
        <v>0</v>
      </c>
      <c r="E120" s="19">
        <f>D120/G120</f>
        <v>0</v>
      </c>
      <c r="F120" s="19">
        <f>E120/12</f>
        <v>0</v>
      </c>
      <c r="G120" s="46">
        <v>2563.8000000000002</v>
      </c>
      <c r="I120" s="47"/>
    </row>
    <row r="121" spans="1:10" s="46" customFormat="1" ht="19.5" thickBot="1" x14ac:dyDescent="0.25">
      <c r="A121" s="172" t="s">
        <v>63</v>
      </c>
      <c r="B121" s="173" t="s">
        <v>15</v>
      </c>
      <c r="C121" s="169"/>
      <c r="D121" s="174">
        <f>E121*G121</f>
        <v>51558.5</v>
      </c>
      <c r="E121" s="168">
        <f>12*F121</f>
        <v>24.72</v>
      </c>
      <c r="F121" s="168">
        <v>2.06</v>
      </c>
      <c r="G121" s="46">
        <f>2563.8-478.1</f>
        <v>2085.6999999999998</v>
      </c>
      <c r="I121" s="47"/>
    </row>
    <row r="122" spans="1:10" s="46" customFormat="1" ht="20.25" thickBot="1" x14ac:dyDescent="0.45">
      <c r="A122" s="175" t="s">
        <v>64</v>
      </c>
      <c r="B122" s="176"/>
      <c r="C122" s="177"/>
      <c r="D122" s="178">
        <f>D120+D115+D112+D109+D107+D99+D94+D87+D72+D71+D70+D69+D55+D53+D49+D43+D42+D41+D40+D39+D28+D14+D121+D58+D56+D54+D116+D117+D118+D119+D68+D57</f>
        <v>849333.73</v>
      </c>
      <c r="E122" s="178">
        <f>E120+E115+E112+E109+E107+E99+E94+E87+E72+E71+E70+E69+E55+E53+E49+E43+E42+E41+E40+E39+E28+E14+E121+E58+E56+E54+E116+E117+E118+E119+E68+E57</f>
        <v>335.87</v>
      </c>
      <c r="F122" s="178">
        <f>F120+F115+F112+F109+F107+F99+F94+F87+F72+F71+F70+F69+F55+F53+F49+F43+F42+F41+F40+F39+F28+F14+F121+F58+F56+F54+F116+F117+F118+F119+F68+F57</f>
        <v>28.01</v>
      </c>
      <c r="I122" s="47"/>
    </row>
    <row r="123" spans="1:10" s="108" customFormat="1" ht="19.5" thickBot="1" x14ac:dyDescent="0.45">
      <c r="A123" s="179"/>
      <c r="B123" s="180"/>
      <c r="C123" s="181"/>
      <c r="D123" s="181"/>
      <c r="E123" s="181"/>
      <c r="F123" s="181"/>
      <c r="I123" s="109"/>
    </row>
    <row r="124" spans="1:10" s="108" customFormat="1" ht="38.25" thickBot="1" x14ac:dyDescent="0.45">
      <c r="A124" s="172" t="s">
        <v>65</v>
      </c>
      <c r="B124" s="182"/>
      <c r="C124" s="183"/>
      <c r="D124" s="184">
        <f>D125+D126+D127</f>
        <v>48703.85</v>
      </c>
      <c r="E124" s="184">
        <f t="shared" ref="E124:F124" si="4">E125+E126+E127</f>
        <v>19</v>
      </c>
      <c r="F124" s="184">
        <f t="shared" si="4"/>
        <v>1.59</v>
      </c>
      <c r="G124" s="46">
        <v>2563.8000000000002</v>
      </c>
      <c r="I124" s="109"/>
    </row>
    <row r="125" spans="1:10" s="108" customFormat="1" ht="25.5" x14ac:dyDescent="0.4">
      <c r="A125" s="12" t="s">
        <v>150</v>
      </c>
      <c r="B125" s="77"/>
      <c r="C125" s="79"/>
      <c r="D125" s="121">
        <v>10346.48</v>
      </c>
      <c r="E125" s="122">
        <f t="shared" ref="E125:E127" si="5">D125/G125</f>
        <v>4.04</v>
      </c>
      <c r="F125" s="122">
        <f t="shared" ref="F125:F127" si="6">E125/12</f>
        <v>0.34</v>
      </c>
      <c r="G125" s="46">
        <v>2563.8000000000002</v>
      </c>
      <c r="I125" s="109"/>
    </row>
    <row r="126" spans="1:10" s="108" customFormat="1" ht="18.75" x14ac:dyDescent="0.4">
      <c r="A126" s="31" t="s">
        <v>149</v>
      </c>
      <c r="B126" s="77"/>
      <c r="C126" s="79"/>
      <c r="D126" s="121">
        <v>26328.39</v>
      </c>
      <c r="E126" s="122">
        <f t="shared" si="5"/>
        <v>10.27</v>
      </c>
      <c r="F126" s="122">
        <f t="shared" si="6"/>
        <v>0.86</v>
      </c>
      <c r="G126" s="46">
        <v>2563.8000000000002</v>
      </c>
      <c r="I126" s="109"/>
    </row>
    <row r="127" spans="1:10" s="108" customFormat="1" ht="18.75" x14ac:dyDescent="0.4">
      <c r="A127" s="31" t="s">
        <v>146</v>
      </c>
      <c r="B127" s="77"/>
      <c r="C127" s="79"/>
      <c r="D127" s="121">
        <v>12028.98</v>
      </c>
      <c r="E127" s="122">
        <f t="shared" si="5"/>
        <v>4.6900000000000004</v>
      </c>
      <c r="F127" s="122">
        <f t="shared" si="6"/>
        <v>0.39</v>
      </c>
      <c r="G127" s="46">
        <v>2563.8000000000002</v>
      </c>
      <c r="I127" s="109"/>
    </row>
    <row r="128" spans="1:10" s="108" customFormat="1" ht="18.75" x14ac:dyDescent="0.4">
      <c r="A128" s="179"/>
      <c r="B128" s="180"/>
      <c r="C128" s="181"/>
      <c r="D128" s="185"/>
      <c r="E128" s="185"/>
      <c r="F128" s="185"/>
      <c r="I128" s="109"/>
    </row>
    <row r="129" spans="1:9" s="108" customFormat="1" ht="19.5" thickBot="1" x14ac:dyDescent="0.45">
      <c r="A129" s="179"/>
      <c r="B129" s="180"/>
      <c r="C129" s="181"/>
      <c r="D129" s="185"/>
      <c r="E129" s="185"/>
      <c r="F129" s="185"/>
      <c r="I129" s="109"/>
    </row>
    <row r="130" spans="1:9" s="118" customFormat="1" ht="20.25" thickBot="1" x14ac:dyDescent="0.45">
      <c r="A130" s="175" t="s">
        <v>66</v>
      </c>
      <c r="B130" s="186"/>
      <c r="C130" s="186"/>
      <c r="D130" s="187">
        <f>D122+D124</f>
        <v>898037.58</v>
      </c>
      <c r="E130" s="187">
        <f t="shared" ref="E130:F130" si="7">E122+E124</f>
        <v>354.87</v>
      </c>
      <c r="F130" s="187">
        <f t="shared" si="7"/>
        <v>29.6</v>
      </c>
      <c r="I130" s="119"/>
    </row>
    <row r="131" spans="1:9" s="108" customFormat="1" ht="19.5" x14ac:dyDescent="0.4">
      <c r="A131" s="188"/>
      <c r="B131" s="189"/>
      <c r="C131" s="189"/>
      <c r="D131" s="190"/>
      <c r="E131" s="190"/>
      <c r="F131" s="190"/>
      <c r="I131" s="109"/>
    </row>
    <row r="132" spans="1:9" s="108" customFormat="1" ht="19.5" x14ac:dyDescent="0.4">
      <c r="A132" s="188"/>
      <c r="B132" s="189"/>
      <c r="C132" s="189"/>
      <c r="D132" s="190"/>
      <c r="E132" s="190"/>
      <c r="F132" s="190"/>
      <c r="I132" s="109"/>
    </row>
    <row r="133" spans="1:9" s="108" customFormat="1" ht="19.5" x14ac:dyDescent="0.4">
      <c r="A133" s="188"/>
      <c r="B133" s="189"/>
      <c r="C133" s="189"/>
      <c r="D133" s="190"/>
      <c r="E133" s="190"/>
      <c r="F133" s="190"/>
      <c r="I133" s="109"/>
    </row>
    <row r="134" spans="1:9" s="100" customFormat="1" ht="19.5" x14ac:dyDescent="0.2">
      <c r="A134" s="191"/>
      <c r="B134" s="189"/>
      <c r="C134" s="190"/>
      <c r="D134" s="190"/>
      <c r="E134" s="190"/>
      <c r="F134" s="190"/>
      <c r="I134" s="101"/>
    </row>
    <row r="135" spans="1:9" s="103" customFormat="1" ht="14.25" x14ac:dyDescent="0.2">
      <c r="A135" s="215" t="s">
        <v>67</v>
      </c>
      <c r="B135" s="215"/>
      <c r="C135" s="215"/>
      <c r="D135" s="215"/>
      <c r="E135" s="151"/>
      <c r="F135" s="151"/>
      <c r="I135" s="104"/>
    </row>
    <row r="136" spans="1:9" s="103" customFormat="1" x14ac:dyDescent="0.2">
      <c r="A136" s="151"/>
      <c r="B136" s="151"/>
      <c r="C136" s="151"/>
      <c r="D136" s="151"/>
      <c r="E136" s="151"/>
      <c r="F136" s="151"/>
      <c r="I136" s="104"/>
    </row>
    <row r="137" spans="1:9" s="103" customFormat="1" x14ac:dyDescent="0.2">
      <c r="A137" s="192" t="s">
        <v>68</v>
      </c>
      <c r="B137" s="151"/>
      <c r="C137" s="151"/>
      <c r="D137" s="151"/>
      <c r="E137" s="151"/>
      <c r="F137" s="151"/>
      <c r="I137" s="104"/>
    </row>
    <row r="138" spans="1:9" s="27" customFormat="1" x14ac:dyDescent="0.2">
      <c r="A138" s="151"/>
      <c r="B138" s="151"/>
      <c r="C138" s="151"/>
      <c r="D138" s="151"/>
      <c r="E138" s="151"/>
      <c r="F138" s="151"/>
      <c r="I138" s="28"/>
    </row>
    <row r="139" spans="1:9" s="27" customFormat="1" x14ac:dyDescent="0.2">
      <c r="I139" s="28"/>
    </row>
    <row r="140" spans="1:9" s="27" customFormat="1" x14ac:dyDescent="0.2">
      <c r="I140" s="28"/>
    </row>
    <row r="141" spans="1:9" s="27" customFormat="1" x14ac:dyDescent="0.2">
      <c r="I141" s="28"/>
    </row>
    <row r="142" spans="1:9" s="27" customFormat="1" x14ac:dyDescent="0.2">
      <c r="I142" s="28"/>
    </row>
    <row r="143" spans="1:9" s="27" customFormat="1" x14ac:dyDescent="0.2">
      <c r="I143" s="28"/>
    </row>
    <row r="144" spans="1:9" s="27" customFormat="1" x14ac:dyDescent="0.2">
      <c r="I144" s="28"/>
    </row>
    <row r="145" spans="9:9" s="27" customFormat="1" x14ac:dyDescent="0.2">
      <c r="I145" s="28"/>
    </row>
    <row r="146" spans="9:9" s="27" customFormat="1" x14ac:dyDescent="0.2">
      <c r="I146" s="28"/>
    </row>
    <row r="147" spans="9:9" s="27" customFormat="1" x14ac:dyDescent="0.2">
      <c r="I147" s="28"/>
    </row>
    <row r="148" spans="9:9" s="27" customFormat="1" x14ac:dyDescent="0.2">
      <c r="I148" s="28"/>
    </row>
    <row r="149" spans="9:9" s="27" customFormat="1" x14ac:dyDescent="0.2">
      <c r="I149" s="28"/>
    </row>
    <row r="150" spans="9:9" s="27" customFormat="1" x14ac:dyDescent="0.2">
      <c r="I150" s="28"/>
    </row>
    <row r="151" spans="9:9" s="27" customFormat="1" x14ac:dyDescent="0.2">
      <c r="I151" s="28"/>
    </row>
    <row r="152" spans="9:9" s="27" customFormat="1" x14ac:dyDescent="0.2">
      <c r="I152" s="28"/>
    </row>
    <row r="153" spans="9:9" s="27" customFormat="1" x14ac:dyDescent="0.2">
      <c r="I153" s="28"/>
    </row>
    <row r="154" spans="9:9" s="27" customFormat="1" x14ac:dyDescent="0.2">
      <c r="I154" s="28"/>
    </row>
    <row r="155" spans="9:9" s="27" customFormat="1" x14ac:dyDescent="0.2">
      <c r="I155" s="28"/>
    </row>
  </sheetData>
  <mergeCells count="12">
    <mergeCell ref="A8:F8"/>
    <mergeCell ref="A9:F9"/>
    <mergeCell ref="G9:J9"/>
    <mergeCell ref="A10:F10"/>
    <mergeCell ref="A13:F13"/>
    <mergeCell ref="A135:D135"/>
    <mergeCell ref="A1:F1"/>
    <mergeCell ref="B2:F2"/>
    <mergeCell ref="B3:F3"/>
    <mergeCell ref="B5:F5"/>
    <mergeCell ref="A6:F6"/>
    <mergeCell ref="A7:F7"/>
  </mergeCells>
  <printOptions horizontalCentered="1"/>
  <pageMargins left="0.2" right="0.2" top="0.19685039370078741" bottom="0.2" header="0.2" footer="0.2"/>
  <pageSetup paperSize="9" scale="63" orientation="portrait" r:id="rId1"/>
  <headerFooter alignWithMargins="0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0"/>
  <sheetViews>
    <sheetView topLeftCell="A53" zoomScale="90" zoomScaleNormal="90" workbookViewId="0">
      <selection activeCell="G81" sqref="G81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18.140625" style="1" customWidth="1"/>
    <col min="5" max="5" width="15.7109375" style="1" customWidth="1"/>
    <col min="6" max="6" width="20.85546875" style="1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10" ht="16.5" customHeight="1" x14ac:dyDescent="0.2">
      <c r="A1" s="193" t="s">
        <v>142</v>
      </c>
      <c r="B1" s="194"/>
      <c r="C1" s="194"/>
      <c r="D1" s="194"/>
      <c r="E1" s="194"/>
      <c r="F1" s="194"/>
    </row>
    <row r="2" spans="1:10" ht="12.75" customHeight="1" x14ac:dyDescent="0.3">
      <c r="B2" s="195"/>
      <c r="C2" s="195"/>
      <c r="D2" s="195"/>
      <c r="E2" s="194"/>
      <c r="F2" s="194"/>
    </row>
    <row r="3" spans="1:10" ht="21" customHeight="1" x14ac:dyDescent="0.3">
      <c r="A3" s="3" t="s">
        <v>164</v>
      </c>
      <c r="B3" s="195" t="s">
        <v>0</v>
      </c>
      <c r="C3" s="195"/>
      <c r="D3" s="195"/>
      <c r="E3" s="194"/>
      <c r="F3" s="194"/>
    </row>
    <row r="4" spans="1:10" ht="21" customHeight="1" x14ac:dyDescent="0.3">
      <c r="A4" s="3"/>
      <c r="B4" s="131"/>
      <c r="C4" s="131"/>
      <c r="D4" s="131"/>
      <c r="E4" s="130"/>
      <c r="F4" s="130"/>
    </row>
    <row r="5" spans="1:10" ht="14.25" customHeight="1" x14ac:dyDescent="0.3">
      <c r="B5" s="195" t="s">
        <v>143</v>
      </c>
      <c r="C5" s="195"/>
      <c r="D5" s="195"/>
      <c r="E5" s="194"/>
      <c r="F5" s="194"/>
    </row>
    <row r="6" spans="1:10" ht="18" customHeight="1" x14ac:dyDescent="0.4">
      <c r="A6" s="196" t="s">
        <v>166</v>
      </c>
      <c r="B6" s="196"/>
      <c r="C6" s="196"/>
      <c r="D6" s="196"/>
      <c r="E6" s="196"/>
      <c r="F6" s="196"/>
    </row>
    <row r="7" spans="1:10" s="6" customFormat="1" ht="22.5" customHeight="1" x14ac:dyDescent="0.4">
      <c r="A7" s="205" t="s">
        <v>1</v>
      </c>
      <c r="B7" s="205"/>
      <c r="C7" s="205"/>
      <c r="D7" s="205"/>
      <c r="E7" s="206"/>
      <c r="F7" s="206"/>
      <c r="I7" s="7"/>
    </row>
    <row r="8" spans="1:10" s="8" customFormat="1" ht="18.75" customHeight="1" x14ac:dyDescent="0.4">
      <c r="A8" s="205" t="s">
        <v>75</v>
      </c>
      <c r="B8" s="205"/>
      <c r="C8" s="205"/>
      <c r="D8" s="205"/>
      <c r="E8" s="205"/>
      <c r="F8" s="205"/>
      <c r="G8" s="205"/>
      <c r="H8" s="205"/>
    </row>
    <row r="9" spans="1:10" s="40" customFormat="1" ht="17.25" customHeight="1" x14ac:dyDescent="0.2">
      <c r="A9" s="218" t="s">
        <v>2</v>
      </c>
      <c r="B9" s="218"/>
      <c r="C9" s="218"/>
      <c r="D9" s="218"/>
      <c r="E9" s="221"/>
      <c r="F9" s="221"/>
      <c r="G9" s="222"/>
      <c r="H9" s="222"/>
      <c r="I9" s="222"/>
      <c r="J9" s="222"/>
    </row>
    <row r="10" spans="1:10" s="40" customFormat="1" ht="17.25" customHeight="1" x14ac:dyDescent="0.2">
      <c r="A10" s="220" t="s">
        <v>76</v>
      </c>
      <c r="B10" s="220"/>
      <c r="C10" s="220"/>
      <c r="D10" s="220"/>
      <c r="E10" s="220"/>
      <c r="F10" s="220"/>
      <c r="G10" s="220"/>
      <c r="H10" s="220"/>
      <c r="I10" s="135"/>
      <c r="J10" s="135"/>
    </row>
    <row r="11" spans="1:10" s="40" customFormat="1" ht="17.25" customHeight="1" x14ac:dyDescent="0.2">
      <c r="A11" s="133"/>
      <c r="B11" s="133"/>
      <c r="C11" s="133"/>
      <c r="D11" s="133"/>
      <c r="E11" s="134"/>
      <c r="F11" s="134"/>
      <c r="G11" s="132"/>
      <c r="H11" s="132"/>
      <c r="I11" s="132"/>
      <c r="J11" s="132"/>
    </row>
    <row r="12" spans="1:10" s="41" customFormat="1" ht="30" customHeight="1" thickBot="1" x14ac:dyDescent="0.25">
      <c r="A12" s="197" t="s">
        <v>3</v>
      </c>
      <c r="B12" s="197"/>
      <c r="C12" s="197"/>
      <c r="D12" s="197"/>
      <c r="E12" s="198"/>
      <c r="F12" s="198"/>
    </row>
    <row r="13" spans="1:10" s="46" customFormat="1" ht="139.5" customHeight="1" thickBot="1" x14ac:dyDescent="0.25">
      <c r="A13" s="42" t="s">
        <v>4</v>
      </c>
      <c r="B13" s="43" t="s">
        <v>5</v>
      </c>
      <c r="C13" s="44" t="s">
        <v>131</v>
      </c>
      <c r="D13" s="44" t="s">
        <v>7</v>
      </c>
      <c r="E13" s="44" t="s">
        <v>6</v>
      </c>
      <c r="F13" s="45" t="s">
        <v>8</v>
      </c>
      <c r="I13" s="47"/>
    </row>
    <row r="14" spans="1:10" s="53" customFormat="1" x14ac:dyDescent="0.2">
      <c r="A14" s="48">
        <v>1</v>
      </c>
      <c r="B14" s="49">
        <v>2</v>
      </c>
      <c r="C14" s="50">
        <v>3</v>
      </c>
      <c r="D14" s="50">
        <v>4</v>
      </c>
      <c r="E14" s="51">
        <v>5</v>
      </c>
      <c r="F14" s="52">
        <v>6</v>
      </c>
      <c r="I14" s="54"/>
    </row>
    <row r="15" spans="1:10" s="53" customFormat="1" ht="49.5" customHeight="1" x14ac:dyDescent="0.2">
      <c r="A15" s="199" t="s">
        <v>9</v>
      </c>
      <c r="B15" s="200"/>
      <c r="C15" s="200"/>
      <c r="D15" s="200"/>
      <c r="E15" s="201"/>
      <c r="F15" s="202"/>
      <c r="I15" s="54"/>
    </row>
    <row r="16" spans="1:10" s="46" customFormat="1" ht="16.5" customHeight="1" x14ac:dyDescent="0.2">
      <c r="A16" s="55" t="s">
        <v>77</v>
      </c>
      <c r="B16" s="56" t="s">
        <v>10</v>
      </c>
      <c r="C16" s="16" t="s">
        <v>141</v>
      </c>
      <c r="D16" s="16">
        <f>E16*G16</f>
        <v>20841.25</v>
      </c>
      <c r="E16" s="10">
        <f>F16*12</f>
        <v>43.32</v>
      </c>
      <c r="F16" s="10">
        <f>F27+F29</f>
        <v>3.61</v>
      </c>
      <c r="G16" s="46">
        <v>481.1</v>
      </c>
      <c r="H16" s="46">
        <v>1.07</v>
      </c>
      <c r="I16" s="47">
        <v>2.2400000000000002</v>
      </c>
      <c r="J16" s="46">
        <v>3044.9</v>
      </c>
    </row>
    <row r="17" spans="1:10" s="46" customFormat="1" ht="29.25" customHeight="1" x14ac:dyDescent="0.2">
      <c r="A17" s="59" t="s">
        <v>11</v>
      </c>
      <c r="B17" s="60" t="s">
        <v>12</v>
      </c>
      <c r="C17" s="61"/>
      <c r="D17" s="61"/>
      <c r="E17" s="62"/>
      <c r="F17" s="62"/>
      <c r="I17" s="47"/>
    </row>
    <row r="18" spans="1:10" s="46" customFormat="1" ht="24" customHeight="1" x14ac:dyDescent="0.2">
      <c r="A18" s="59" t="s">
        <v>13</v>
      </c>
      <c r="B18" s="60" t="s">
        <v>12</v>
      </c>
      <c r="C18" s="61"/>
      <c r="D18" s="61"/>
      <c r="E18" s="62"/>
      <c r="F18" s="62"/>
      <c r="I18" s="47"/>
    </row>
    <row r="19" spans="1:10" s="46" customFormat="1" ht="120" customHeight="1" x14ac:dyDescent="0.2">
      <c r="A19" s="59" t="s">
        <v>78</v>
      </c>
      <c r="B19" s="60" t="s">
        <v>27</v>
      </c>
      <c r="C19" s="61"/>
      <c r="D19" s="61"/>
      <c r="E19" s="62"/>
      <c r="F19" s="62"/>
      <c r="I19" s="47"/>
    </row>
    <row r="20" spans="1:10" s="46" customFormat="1" ht="15" x14ac:dyDescent="0.2">
      <c r="A20" s="59" t="s">
        <v>79</v>
      </c>
      <c r="B20" s="60" t="s">
        <v>12</v>
      </c>
      <c r="C20" s="61"/>
      <c r="D20" s="61"/>
      <c r="E20" s="62"/>
      <c r="F20" s="62"/>
      <c r="I20" s="47"/>
    </row>
    <row r="21" spans="1:10" s="46" customFormat="1" ht="15" x14ac:dyDescent="0.2">
      <c r="A21" s="59" t="s">
        <v>80</v>
      </c>
      <c r="B21" s="60" t="s">
        <v>12</v>
      </c>
      <c r="C21" s="61"/>
      <c r="D21" s="61"/>
      <c r="E21" s="62"/>
      <c r="F21" s="62"/>
      <c r="I21" s="47"/>
    </row>
    <row r="22" spans="1:10" s="46" customFormat="1" ht="25.5" x14ac:dyDescent="0.2">
      <c r="A22" s="59" t="s">
        <v>81</v>
      </c>
      <c r="B22" s="60" t="s">
        <v>18</v>
      </c>
      <c r="C22" s="61"/>
      <c r="D22" s="61"/>
      <c r="E22" s="62"/>
      <c r="F22" s="62"/>
      <c r="I22" s="47"/>
    </row>
    <row r="23" spans="1:10" s="46" customFormat="1" ht="15" x14ac:dyDescent="0.2">
      <c r="A23" s="59" t="s">
        <v>82</v>
      </c>
      <c r="B23" s="60" t="s">
        <v>21</v>
      </c>
      <c r="C23" s="61"/>
      <c r="D23" s="61"/>
      <c r="E23" s="62"/>
      <c r="F23" s="62"/>
      <c r="I23" s="47"/>
    </row>
    <row r="24" spans="1:10" s="46" customFormat="1" ht="15" x14ac:dyDescent="0.2">
      <c r="A24" s="36" t="s">
        <v>156</v>
      </c>
      <c r="B24" s="37" t="s">
        <v>12</v>
      </c>
      <c r="C24" s="61"/>
      <c r="D24" s="61"/>
      <c r="E24" s="62"/>
      <c r="F24" s="62"/>
      <c r="I24" s="47"/>
    </row>
    <row r="25" spans="1:10" s="46" customFormat="1" ht="15" x14ac:dyDescent="0.2">
      <c r="A25" s="36" t="s">
        <v>157</v>
      </c>
      <c r="B25" s="37" t="s">
        <v>12</v>
      </c>
      <c r="C25" s="61"/>
      <c r="D25" s="61"/>
      <c r="E25" s="62"/>
      <c r="F25" s="62"/>
      <c r="I25" s="47"/>
    </row>
    <row r="26" spans="1:10" s="46" customFormat="1" ht="15" x14ac:dyDescent="0.2">
      <c r="A26" s="59" t="s">
        <v>83</v>
      </c>
      <c r="B26" s="60" t="s">
        <v>26</v>
      </c>
      <c r="C26" s="61"/>
      <c r="D26" s="61"/>
      <c r="E26" s="62"/>
      <c r="F26" s="62"/>
      <c r="I26" s="47"/>
    </row>
    <row r="27" spans="1:10" s="46" customFormat="1" ht="15" x14ac:dyDescent="0.2">
      <c r="A27" s="55" t="s">
        <v>73</v>
      </c>
      <c r="B27" s="63"/>
      <c r="C27" s="61"/>
      <c r="D27" s="61"/>
      <c r="E27" s="62"/>
      <c r="F27" s="58">
        <v>3.61</v>
      </c>
      <c r="G27" s="46">
        <v>481.1</v>
      </c>
      <c r="I27" s="47"/>
      <c r="J27" s="46">
        <v>3044.9</v>
      </c>
    </row>
    <row r="28" spans="1:10" s="46" customFormat="1" ht="15" x14ac:dyDescent="0.2">
      <c r="A28" s="64" t="s">
        <v>72</v>
      </c>
      <c r="B28" s="63" t="s">
        <v>12</v>
      </c>
      <c r="C28" s="61"/>
      <c r="D28" s="61"/>
      <c r="E28" s="62"/>
      <c r="F28" s="62">
        <v>0</v>
      </c>
      <c r="G28" s="46">
        <v>481.1</v>
      </c>
      <c r="I28" s="47"/>
      <c r="J28" s="46">
        <v>3044.9</v>
      </c>
    </row>
    <row r="29" spans="1:10" s="46" customFormat="1" ht="15" x14ac:dyDescent="0.2">
      <c r="A29" s="55" t="s">
        <v>73</v>
      </c>
      <c r="B29" s="63"/>
      <c r="C29" s="61"/>
      <c r="D29" s="61"/>
      <c r="E29" s="62"/>
      <c r="F29" s="58">
        <f>F28</f>
        <v>0</v>
      </c>
      <c r="G29" s="46">
        <v>481.1</v>
      </c>
      <c r="I29" s="47"/>
    </row>
    <row r="30" spans="1:10" s="67" customFormat="1" ht="21" customHeight="1" x14ac:dyDescent="0.2">
      <c r="A30" s="66" t="s">
        <v>20</v>
      </c>
      <c r="B30" s="56" t="s">
        <v>21</v>
      </c>
      <c r="C30" s="16" t="s">
        <v>141</v>
      </c>
      <c r="D30" s="16">
        <f>E30*G30</f>
        <v>5195.88</v>
      </c>
      <c r="E30" s="10">
        <f>F30*12</f>
        <v>10.8</v>
      </c>
      <c r="F30" s="10">
        <v>0.9</v>
      </c>
      <c r="G30" s="46">
        <v>481.1</v>
      </c>
      <c r="H30" s="46">
        <v>1.07</v>
      </c>
      <c r="I30" s="47">
        <v>0.6</v>
      </c>
      <c r="J30" s="67">
        <v>3044.9</v>
      </c>
    </row>
    <row r="31" spans="1:10" s="46" customFormat="1" ht="15" x14ac:dyDescent="0.2">
      <c r="A31" s="66" t="s">
        <v>22</v>
      </c>
      <c r="B31" s="56" t="s">
        <v>23</v>
      </c>
      <c r="C31" s="16"/>
      <c r="D31" s="16">
        <f>E31*G31</f>
        <v>16915.48</v>
      </c>
      <c r="E31" s="10">
        <f>F31*12</f>
        <v>35.159999999999997</v>
      </c>
      <c r="F31" s="10">
        <v>2.93</v>
      </c>
      <c r="G31" s="46">
        <v>481.1</v>
      </c>
      <c r="H31" s="46">
        <v>1.07</v>
      </c>
      <c r="I31" s="47">
        <v>1.94</v>
      </c>
      <c r="J31" s="46">
        <v>3044.9</v>
      </c>
    </row>
    <row r="32" spans="1:10" s="53" customFormat="1" ht="30.75" customHeight="1" x14ac:dyDescent="0.2">
      <c r="A32" s="66" t="s">
        <v>106</v>
      </c>
      <c r="B32" s="56" t="s">
        <v>10</v>
      </c>
      <c r="C32" s="16" t="s">
        <v>135</v>
      </c>
      <c r="D32" s="16">
        <f>2439.99*G32/J32</f>
        <v>385.52</v>
      </c>
      <c r="E32" s="10">
        <f>D32/G32</f>
        <v>0.8</v>
      </c>
      <c r="F32" s="10">
        <f t="shared" ref="F32:F34" si="0">E32/12</f>
        <v>7.0000000000000007E-2</v>
      </c>
      <c r="G32" s="46">
        <v>481.1</v>
      </c>
      <c r="H32" s="46">
        <v>1.07</v>
      </c>
      <c r="I32" s="47">
        <v>0.04</v>
      </c>
      <c r="J32" s="53">
        <v>3044.9</v>
      </c>
    </row>
    <row r="33" spans="1:10" s="53" customFormat="1" ht="30" x14ac:dyDescent="0.2">
      <c r="A33" s="66" t="s">
        <v>107</v>
      </c>
      <c r="B33" s="56" t="s">
        <v>10</v>
      </c>
      <c r="C33" s="16" t="s">
        <v>135</v>
      </c>
      <c r="D33" s="16">
        <f>15405.72*G33/J33</f>
        <v>2434.13</v>
      </c>
      <c r="E33" s="10">
        <f>D33/G33</f>
        <v>5.0599999999999996</v>
      </c>
      <c r="F33" s="10">
        <f t="shared" si="0"/>
        <v>0.42</v>
      </c>
      <c r="G33" s="46">
        <v>481.1</v>
      </c>
      <c r="H33" s="46">
        <v>1.07</v>
      </c>
      <c r="I33" s="47">
        <v>0</v>
      </c>
      <c r="J33" s="53">
        <v>3044.9</v>
      </c>
    </row>
    <row r="34" spans="1:10" s="53" customFormat="1" ht="22.5" customHeight="1" x14ac:dyDescent="0.2">
      <c r="A34" s="66" t="s">
        <v>167</v>
      </c>
      <c r="B34" s="56" t="s">
        <v>48</v>
      </c>
      <c r="C34" s="16" t="s">
        <v>135</v>
      </c>
      <c r="D34" s="16">
        <f>15405.68*G34/J34</f>
        <v>2434.13</v>
      </c>
      <c r="E34" s="10">
        <f>D34/G34</f>
        <v>5.0599999999999996</v>
      </c>
      <c r="F34" s="10">
        <f t="shared" si="0"/>
        <v>0.42</v>
      </c>
      <c r="G34" s="46">
        <v>481.1</v>
      </c>
      <c r="H34" s="46"/>
      <c r="I34" s="47"/>
      <c r="J34" s="53">
        <v>3044.9</v>
      </c>
    </row>
    <row r="35" spans="1:10" s="46" customFormat="1" ht="15" x14ac:dyDescent="0.2">
      <c r="A35" s="17" t="s">
        <v>31</v>
      </c>
      <c r="B35" s="9" t="s">
        <v>32</v>
      </c>
      <c r="C35" s="16" t="s">
        <v>173</v>
      </c>
      <c r="D35" s="16">
        <f>E35*G35</f>
        <v>461.86</v>
      </c>
      <c r="E35" s="10">
        <f>F35*12</f>
        <v>0.96</v>
      </c>
      <c r="F35" s="10">
        <v>0.08</v>
      </c>
      <c r="G35" s="46">
        <v>481.1</v>
      </c>
      <c r="H35" s="46">
        <v>1.07</v>
      </c>
      <c r="I35" s="47">
        <v>0.03</v>
      </c>
      <c r="J35" s="46">
        <v>3044.9</v>
      </c>
    </row>
    <row r="36" spans="1:10" s="46" customFormat="1" ht="15" x14ac:dyDescent="0.2">
      <c r="A36" s="17" t="s">
        <v>33</v>
      </c>
      <c r="B36" s="18" t="s">
        <v>34</v>
      </c>
      <c r="C36" s="16" t="s">
        <v>173</v>
      </c>
      <c r="D36" s="16">
        <f>E36*G36</f>
        <v>288.66000000000003</v>
      </c>
      <c r="E36" s="10">
        <f>12*F36</f>
        <v>0.6</v>
      </c>
      <c r="F36" s="10">
        <v>0.05</v>
      </c>
      <c r="G36" s="46">
        <v>481.1</v>
      </c>
      <c r="H36" s="46">
        <v>1.07</v>
      </c>
      <c r="I36" s="47">
        <v>0.02</v>
      </c>
      <c r="J36" s="46">
        <v>3044.9</v>
      </c>
    </row>
    <row r="37" spans="1:10" s="67" customFormat="1" ht="30" x14ac:dyDescent="0.2">
      <c r="A37" s="17" t="s">
        <v>35</v>
      </c>
      <c r="B37" s="9"/>
      <c r="C37" s="16" t="s">
        <v>140</v>
      </c>
      <c r="D37" s="16">
        <f>3535*G37/J37</f>
        <v>558.54</v>
      </c>
      <c r="E37" s="10">
        <f>D37/G37</f>
        <v>1.1599999999999999</v>
      </c>
      <c r="F37" s="10">
        <f>E37/12</f>
        <v>0.1</v>
      </c>
      <c r="G37" s="46">
        <v>481.1</v>
      </c>
      <c r="H37" s="46">
        <v>1.07</v>
      </c>
      <c r="I37" s="47">
        <v>0.03</v>
      </c>
      <c r="J37" s="67">
        <v>3044.9</v>
      </c>
    </row>
    <row r="38" spans="1:10" s="67" customFormat="1" ht="22.5" customHeight="1" x14ac:dyDescent="0.2">
      <c r="A38" s="66" t="s">
        <v>36</v>
      </c>
      <c r="B38" s="56"/>
      <c r="C38" s="10" t="s">
        <v>174</v>
      </c>
      <c r="D38" s="10">
        <f>D39+D40+D41+D42+D43+D44+D45+D46+D47+D50+D48+D49</f>
        <v>4113.8599999999997</v>
      </c>
      <c r="E38" s="58">
        <f>D38/G38</f>
        <v>8.5500000000000007</v>
      </c>
      <c r="F38" s="58">
        <f>E38/12</f>
        <v>0.71</v>
      </c>
      <c r="G38" s="46">
        <v>481.1</v>
      </c>
      <c r="H38" s="46">
        <v>1.07</v>
      </c>
      <c r="I38" s="47">
        <v>0.71</v>
      </c>
      <c r="J38" s="67">
        <v>3044.9</v>
      </c>
    </row>
    <row r="39" spans="1:10" s="53" customFormat="1" ht="15" x14ac:dyDescent="0.2">
      <c r="A39" s="73" t="s">
        <v>37</v>
      </c>
      <c r="B39" s="74" t="s">
        <v>26</v>
      </c>
      <c r="C39" s="29"/>
      <c r="D39" s="29">
        <f>389.23*G39/J39</f>
        <v>61.5</v>
      </c>
      <c r="E39" s="76"/>
      <c r="F39" s="76"/>
      <c r="G39" s="46">
        <v>481.1</v>
      </c>
      <c r="H39" s="46">
        <v>1.07</v>
      </c>
      <c r="I39" s="47">
        <v>0.01</v>
      </c>
      <c r="J39" s="53">
        <v>3044.9</v>
      </c>
    </row>
    <row r="40" spans="1:10" s="53" customFormat="1" ht="15" x14ac:dyDescent="0.2">
      <c r="A40" s="73" t="s">
        <v>38</v>
      </c>
      <c r="B40" s="74" t="s">
        <v>27</v>
      </c>
      <c r="C40" s="29"/>
      <c r="D40" s="29">
        <f>1097.78*G40/J40</f>
        <v>173.45</v>
      </c>
      <c r="E40" s="76"/>
      <c r="F40" s="76"/>
      <c r="G40" s="46">
        <v>481.1</v>
      </c>
      <c r="H40" s="46">
        <v>1.07</v>
      </c>
      <c r="I40" s="47">
        <v>0.01</v>
      </c>
      <c r="J40" s="53">
        <v>3044.9</v>
      </c>
    </row>
    <row r="41" spans="1:10" s="53" customFormat="1" ht="15" x14ac:dyDescent="0.2">
      <c r="A41" s="73" t="s">
        <v>69</v>
      </c>
      <c r="B41" s="77" t="s">
        <v>26</v>
      </c>
      <c r="C41" s="29"/>
      <c r="D41" s="29">
        <f>1956.15*G41/J41</f>
        <v>309.08</v>
      </c>
      <c r="E41" s="76"/>
      <c r="F41" s="76"/>
      <c r="G41" s="46">
        <v>481.1</v>
      </c>
      <c r="H41" s="46"/>
      <c r="I41" s="47"/>
      <c r="J41" s="53">
        <v>3044.9</v>
      </c>
    </row>
    <row r="42" spans="1:10" s="53" customFormat="1" ht="15" x14ac:dyDescent="0.2">
      <c r="A42" s="78" t="s">
        <v>119</v>
      </c>
      <c r="B42" s="77" t="s">
        <v>48</v>
      </c>
      <c r="C42" s="150"/>
      <c r="D42" s="150">
        <v>0</v>
      </c>
      <c r="E42" s="76"/>
      <c r="F42" s="76"/>
      <c r="G42" s="46">
        <v>481.1</v>
      </c>
      <c r="H42" s="46">
        <v>1.07</v>
      </c>
      <c r="I42" s="47">
        <v>0.27</v>
      </c>
      <c r="J42" s="53">
        <v>3044.9</v>
      </c>
    </row>
    <row r="43" spans="1:10" s="53" customFormat="1" ht="15" x14ac:dyDescent="0.2">
      <c r="A43" s="73" t="s">
        <v>39</v>
      </c>
      <c r="B43" s="74" t="s">
        <v>26</v>
      </c>
      <c r="C43" s="29"/>
      <c r="D43" s="29">
        <f>2092*G43/J43</f>
        <v>330.54</v>
      </c>
      <c r="E43" s="76"/>
      <c r="F43" s="76"/>
      <c r="G43" s="46">
        <v>481.1</v>
      </c>
      <c r="H43" s="46">
        <v>1.07</v>
      </c>
      <c r="I43" s="47">
        <v>0.02</v>
      </c>
      <c r="J43" s="53">
        <v>3044.9</v>
      </c>
    </row>
    <row r="44" spans="1:10" s="53" customFormat="1" ht="15" x14ac:dyDescent="0.2">
      <c r="A44" s="73" t="s">
        <v>40</v>
      </c>
      <c r="B44" s="74" t="s">
        <v>26</v>
      </c>
      <c r="C44" s="29"/>
      <c r="D44" s="29">
        <f>6995.08*G44/J44</f>
        <v>1105.24</v>
      </c>
      <c r="E44" s="76"/>
      <c r="F44" s="76"/>
      <c r="G44" s="46">
        <v>481.1</v>
      </c>
      <c r="H44" s="46">
        <v>1.07</v>
      </c>
      <c r="I44" s="47">
        <v>0.1</v>
      </c>
      <c r="J44" s="53">
        <v>3044.9</v>
      </c>
    </row>
    <row r="45" spans="1:10" s="53" customFormat="1" ht="15" x14ac:dyDescent="0.2">
      <c r="A45" s="73" t="s">
        <v>70</v>
      </c>
      <c r="B45" s="74" t="s">
        <v>26</v>
      </c>
      <c r="C45" s="29"/>
      <c r="D45" s="29">
        <f>1097.78*G45/J45</f>
        <v>173.45</v>
      </c>
      <c r="E45" s="76"/>
      <c r="F45" s="76"/>
      <c r="G45" s="46">
        <v>481.1</v>
      </c>
      <c r="H45" s="46">
        <v>1.07</v>
      </c>
      <c r="I45" s="47">
        <v>0.02</v>
      </c>
      <c r="J45" s="53">
        <v>3044.9</v>
      </c>
    </row>
    <row r="46" spans="1:10" s="53" customFormat="1" ht="15" x14ac:dyDescent="0.2">
      <c r="A46" s="73" t="s">
        <v>41</v>
      </c>
      <c r="B46" s="74" t="s">
        <v>26</v>
      </c>
      <c r="C46" s="29"/>
      <c r="D46" s="29">
        <f>1045.98*G46/J46</f>
        <v>165.27</v>
      </c>
      <c r="E46" s="76"/>
      <c r="F46" s="76"/>
      <c r="G46" s="46">
        <v>481.1</v>
      </c>
      <c r="H46" s="46">
        <v>1.07</v>
      </c>
      <c r="I46" s="47">
        <v>0.01</v>
      </c>
      <c r="J46" s="53">
        <v>3044.9</v>
      </c>
    </row>
    <row r="47" spans="1:10" s="53" customFormat="1" ht="15" x14ac:dyDescent="0.2">
      <c r="A47" s="73" t="s">
        <v>42</v>
      </c>
      <c r="B47" s="74" t="s">
        <v>27</v>
      </c>
      <c r="C47" s="29"/>
      <c r="D47" s="29">
        <v>0</v>
      </c>
      <c r="E47" s="76"/>
      <c r="F47" s="76"/>
      <c r="G47" s="46">
        <v>481.1</v>
      </c>
      <c r="H47" s="46">
        <v>1.07</v>
      </c>
      <c r="I47" s="47">
        <v>0.04</v>
      </c>
      <c r="J47" s="53">
        <v>3044.9</v>
      </c>
    </row>
    <row r="48" spans="1:10" s="53" customFormat="1" ht="25.5" x14ac:dyDescent="0.2">
      <c r="A48" s="73" t="s">
        <v>43</v>
      </c>
      <c r="B48" s="74" t="s">
        <v>26</v>
      </c>
      <c r="C48" s="29"/>
      <c r="D48" s="29">
        <f>3452.6*G48/J48</f>
        <v>545.52</v>
      </c>
      <c r="E48" s="76"/>
      <c r="F48" s="76"/>
      <c r="G48" s="46">
        <v>481.1</v>
      </c>
      <c r="H48" s="46">
        <v>1.07</v>
      </c>
      <c r="I48" s="47">
        <v>0.06</v>
      </c>
      <c r="J48" s="53">
        <v>3044.9</v>
      </c>
    </row>
    <row r="49" spans="1:10" s="53" customFormat="1" ht="30" customHeight="1" x14ac:dyDescent="0.2">
      <c r="A49" s="20" t="s">
        <v>163</v>
      </c>
      <c r="B49" s="23" t="s">
        <v>26</v>
      </c>
      <c r="C49" s="29"/>
      <c r="D49" s="29">
        <f>674.01*G49/J49</f>
        <v>106.49</v>
      </c>
      <c r="E49" s="76"/>
      <c r="F49" s="76"/>
      <c r="G49" s="46">
        <v>481.1</v>
      </c>
      <c r="H49" s="46"/>
      <c r="I49" s="47"/>
      <c r="J49" s="53">
        <v>3044.9</v>
      </c>
    </row>
    <row r="50" spans="1:10" s="53" customFormat="1" ht="22.5" customHeight="1" x14ac:dyDescent="0.2">
      <c r="A50" s="73" t="s">
        <v>44</v>
      </c>
      <c r="B50" s="74" t="s">
        <v>26</v>
      </c>
      <c r="C50" s="29"/>
      <c r="D50" s="29">
        <f>7236.11*G50/J50</f>
        <v>1143.32</v>
      </c>
      <c r="E50" s="76"/>
      <c r="F50" s="76"/>
      <c r="G50" s="46">
        <v>481.1</v>
      </c>
      <c r="H50" s="46">
        <v>1.07</v>
      </c>
      <c r="I50" s="47">
        <v>0.01</v>
      </c>
      <c r="J50" s="53">
        <v>3044.9</v>
      </c>
    </row>
    <row r="51" spans="1:10" s="53" customFormat="1" ht="25.5" x14ac:dyDescent="0.2">
      <c r="A51" s="73" t="s">
        <v>117</v>
      </c>
      <c r="B51" s="77" t="s">
        <v>118</v>
      </c>
      <c r="C51" s="38"/>
      <c r="D51" s="29">
        <v>0</v>
      </c>
      <c r="E51" s="76"/>
      <c r="F51" s="76"/>
      <c r="G51" s="46">
        <v>481.1</v>
      </c>
      <c r="H51" s="46"/>
      <c r="I51" s="47"/>
      <c r="J51" s="53">
        <v>3044.9</v>
      </c>
    </row>
    <row r="52" spans="1:10" s="53" customFormat="1" ht="15" x14ac:dyDescent="0.2">
      <c r="A52" s="73" t="s">
        <v>120</v>
      </c>
      <c r="B52" s="77" t="s">
        <v>26</v>
      </c>
      <c r="C52" s="75"/>
      <c r="D52" s="21">
        <v>0</v>
      </c>
      <c r="E52" s="76"/>
      <c r="F52" s="76"/>
      <c r="G52" s="46">
        <v>481.1</v>
      </c>
      <c r="H52" s="46"/>
      <c r="I52" s="47"/>
      <c r="J52" s="53">
        <v>3044.9</v>
      </c>
    </row>
    <row r="53" spans="1:10" s="67" customFormat="1" ht="30" x14ac:dyDescent="0.2">
      <c r="A53" s="66" t="s">
        <v>45</v>
      </c>
      <c r="B53" s="56"/>
      <c r="C53" s="58" t="s">
        <v>175</v>
      </c>
      <c r="D53" s="58">
        <f>D54+D55+D56+D57+D58+D59</f>
        <v>5227.33</v>
      </c>
      <c r="E53" s="58">
        <f>D53/G53</f>
        <v>10.87</v>
      </c>
      <c r="F53" s="58">
        <f>E53/12</f>
        <v>0.91</v>
      </c>
      <c r="G53" s="46">
        <v>481.1</v>
      </c>
      <c r="H53" s="46">
        <v>1.07</v>
      </c>
      <c r="I53" s="47">
        <v>0.85</v>
      </c>
      <c r="J53" s="67">
        <v>3044.9</v>
      </c>
    </row>
    <row r="54" spans="1:10" s="53" customFormat="1" ht="25.5" x14ac:dyDescent="0.2">
      <c r="A54" s="73" t="s">
        <v>121</v>
      </c>
      <c r="B54" s="77" t="s">
        <v>27</v>
      </c>
      <c r="C54" s="75"/>
      <c r="D54" s="21">
        <f>25643.5*G54/J54</f>
        <v>4051.72</v>
      </c>
      <c r="E54" s="76"/>
      <c r="F54" s="76"/>
      <c r="G54" s="46">
        <v>481.1</v>
      </c>
      <c r="H54" s="46">
        <v>3044.9</v>
      </c>
      <c r="I54" s="46">
        <v>3044.9</v>
      </c>
      <c r="J54" s="53">
        <v>3044.9</v>
      </c>
    </row>
    <row r="55" spans="1:10" s="53" customFormat="1" ht="25.5" x14ac:dyDescent="0.2">
      <c r="A55" s="73" t="s">
        <v>46</v>
      </c>
      <c r="B55" s="74" t="s">
        <v>47</v>
      </c>
      <c r="C55" s="75"/>
      <c r="D55" s="21">
        <v>0</v>
      </c>
      <c r="E55" s="76"/>
      <c r="F55" s="76"/>
      <c r="G55" s="46">
        <v>481.1</v>
      </c>
      <c r="H55" s="46">
        <v>1.07</v>
      </c>
      <c r="I55" s="47">
        <v>0.04</v>
      </c>
      <c r="J55" s="53">
        <v>3044.9</v>
      </c>
    </row>
    <row r="56" spans="1:10" s="53" customFormat="1" ht="21" customHeight="1" x14ac:dyDescent="0.2">
      <c r="A56" s="73" t="s">
        <v>49</v>
      </c>
      <c r="B56" s="74" t="s">
        <v>10</v>
      </c>
      <c r="C56" s="80"/>
      <c r="D56" s="29">
        <f>7440.48*G56/J56</f>
        <v>1175.6099999999999</v>
      </c>
      <c r="E56" s="76"/>
      <c r="F56" s="76"/>
      <c r="G56" s="46">
        <v>481.1</v>
      </c>
      <c r="H56" s="46">
        <v>1.07</v>
      </c>
      <c r="I56" s="47">
        <v>0.14000000000000001</v>
      </c>
      <c r="J56" s="53">
        <v>3044.9</v>
      </c>
    </row>
    <row r="57" spans="1:10" s="83" customFormat="1" ht="25.5" x14ac:dyDescent="0.2">
      <c r="A57" s="73" t="s">
        <v>117</v>
      </c>
      <c r="B57" s="77" t="s">
        <v>118</v>
      </c>
      <c r="C57" s="81"/>
      <c r="D57" s="38">
        <v>0</v>
      </c>
      <c r="E57" s="82"/>
      <c r="F57" s="82"/>
      <c r="G57" s="46">
        <v>481.1</v>
      </c>
      <c r="H57" s="46"/>
      <c r="I57" s="47"/>
      <c r="J57" s="83">
        <v>3044.9</v>
      </c>
    </row>
    <row r="58" spans="1:10" s="83" customFormat="1" ht="20.25" customHeight="1" x14ac:dyDescent="0.2">
      <c r="A58" s="73" t="s">
        <v>122</v>
      </c>
      <c r="B58" s="77" t="s">
        <v>26</v>
      </c>
      <c r="C58" s="81"/>
      <c r="D58" s="38">
        <v>0</v>
      </c>
      <c r="E58" s="82"/>
      <c r="F58" s="82"/>
      <c r="G58" s="46">
        <v>481.1</v>
      </c>
      <c r="H58" s="46"/>
      <c r="I58" s="47"/>
      <c r="J58" s="83">
        <v>3044.9</v>
      </c>
    </row>
    <row r="59" spans="1:10" s="83" customFormat="1" ht="19.5" customHeight="1" x14ac:dyDescent="0.2">
      <c r="A59" s="78" t="s">
        <v>123</v>
      </c>
      <c r="B59" s="77" t="s">
        <v>48</v>
      </c>
      <c r="C59" s="81"/>
      <c r="D59" s="38">
        <v>0</v>
      </c>
      <c r="E59" s="82"/>
      <c r="F59" s="82"/>
      <c r="G59" s="46">
        <v>481.1</v>
      </c>
      <c r="H59" s="46"/>
      <c r="I59" s="47"/>
      <c r="J59" s="83">
        <v>3044.9</v>
      </c>
    </row>
    <row r="60" spans="1:10" s="53" customFormat="1" ht="30" x14ac:dyDescent="0.2">
      <c r="A60" s="66" t="s">
        <v>50</v>
      </c>
      <c r="B60" s="74"/>
      <c r="C60" s="58" t="s">
        <v>176</v>
      </c>
      <c r="D60" s="58">
        <f>D61</f>
        <v>0</v>
      </c>
      <c r="E60" s="58">
        <f>D60/G60</f>
        <v>0</v>
      </c>
      <c r="F60" s="58">
        <f>E60/12</f>
        <v>0</v>
      </c>
      <c r="G60" s="46">
        <v>481.1</v>
      </c>
      <c r="H60" s="46">
        <v>1.07</v>
      </c>
      <c r="I60" s="47">
        <v>0.41</v>
      </c>
      <c r="J60" s="53">
        <v>3044.9</v>
      </c>
    </row>
    <row r="61" spans="1:10" s="53" customFormat="1" ht="21" customHeight="1" x14ac:dyDescent="0.2">
      <c r="A61" s="73" t="s">
        <v>51</v>
      </c>
      <c r="B61" s="84" t="s">
        <v>48</v>
      </c>
      <c r="C61" s="75"/>
      <c r="D61" s="75">
        <v>0</v>
      </c>
      <c r="E61" s="76"/>
      <c r="F61" s="76"/>
      <c r="G61" s="46">
        <v>481.1</v>
      </c>
      <c r="H61" s="46">
        <v>1.07</v>
      </c>
      <c r="I61" s="47">
        <v>0.27</v>
      </c>
      <c r="J61" s="53">
        <v>3044.9</v>
      </c>
    </row>
    <row r="62" spans="1:10" s="53" customFormat="1" ht="25.5" x14ac:dyDescent="0.2">
      <c r="A62" s="73" t="s">
        <v>117</v>
      </c>
      <c r="B62" s="77" t="s">
        <v>118</v>
      </c>
      <c r="C62" s="80"/>
      <c r="D62" s="80">
        <v>0</v>
      </c>
      <c r="E62" s="85"/>
      <c r="F62" s="85"/>
      <c r="G62" s="46">
        <v>481.1</v>
      </c>
      <c r="H62" s="46"/>
      <c r="I62" s="47"/>
      <c r="J62" s="53">
        <v>3044.9</v>
      </c>
    </row>
    <row r="63" spans="1:10" s="53" customFormat="1" ht="15" x14ac:dyDescent="0.2">
      <c r="A63" s="73" t="s">
        <v>124</v>
      </c>
      <c r="B63" s="77" t="s">
        <v>26</v>
      </c>
      <c r="C63" s="80"/>
      <c r="D63" s="80">
        <v>0</v>
      </c>
      <c r="E63" s="85"/>
      <c r="F63" s="85"/>
      <c r="G63" s="46">
        <v>481.1</v>
      </c>
      <c r="H63" s="46"/>
      <c r="I63" s="47"/>
      <c r="J63" s="53">
        <v>3044.9</v>
      </c>
    </row>
    <row r="64" spans="1:10" s="53" customFormat="1" ht="15" x14ac:dyDescent="0.2">
      <c r="A64" s="78" t="s">
        <v>125</v>
      </c>
      <c r="B64" s="77" t="s">
        <v>48</v>
      </c>
      <c r="C64" s="80"/>
      <c r="D64" s="80">
        <v>0</v>
      </c>
      <c r="E64" s="85"/>
      <c r="F64" s="85"/>
      <c r="G64" s="46">
        <v>481.1</v>
      </c>
      <c r="H64" s="46"/>
      <c r="I64" s="47"/>
      <c r="J64" s="53">
        <v>3044.9</v>
      </c>
    </row>
    <row r="65" spans="1:10" s="53" customFormat="1" ht="20.25" customHeight="1" x14ac:dyDescent="0.2">
      <c r="A65" s="66" t="s">
        <v>56</v>
      </c>
      <c r="B65" s="74"/>
      <c r="C65" s="58" t="s">
        <v>177</v>
      </c>
      <c r="D65" s="58">
        <f>D66</f>
        <v>0</v>
      </c>
      <c r="E65" s="58">
        <f>D65/G65</f>
        <v>0</v>
      </c>
      <c r="F65" s="58">
        <f>E65/12</f>
        <v>0</v>
      </c>
      <c r="G65" s="46">
        <v>481.1</v>
      </c>
      <c r="H65" s="46">
        <v>1.07</v>
      </c>
      <c r="I65" s="47">
        <v>0.12</v>
      </c>
    </row>
    <row r="66" spans="1:10" s="53" customFormat="1" ht="20.25" customHeight="1" x14ac:dyDescent="0.2">
      <c r="A66" s="73" t="s">
        <v>57</v>
      </c>
      <c r="B66" s="74" t="s">
        <v>26</v>
      </c>
      <c r="C66" s="75"/>
      <c r="D66" s="21">
        <v>0</v>
      </c>
      <c r="E66" s="76"/>
      <c r="F66" s="76"/>
      <c r="G66" s="46">
        <v>481.1</v>
      </c>
      <c r="H66" s="46">
        <v>1.07</v>
      </c>
      <c r="I66" s="47">
        <v>0.02</v>
      </c>
      <c r="J66" s="53">
        <v>3044.9</v>
      </c>
    </row>
    <row r="67" spans="1:10" s="53" customFormat="1" ht="20.25" customHeight="1" x14ac:dyDescent="0.2">
      <c r="A67" s="25" t="s">
        <v>180</v>
      </c>
      <c r="B67" s="9" t="s">
        <v>10</v>
      </c>
      <c r="C67" s="87"/>
      <c r="D67" s="87">
        <f>(12004.62+1948.84)*G67/J67</f>
        <v>2204.67</v>
      </c>
      <c r="E67" s="87">
        <f>D67/G67</f>
        <v>4.58</v>
      </c>
      <c r="F67" s="87">
        <f>E67/12</f>
        <v>0.38</v>
      </c>
      <c r="G67" s="46">
        <v>481.1</v>
      </c>
      <c r="H67" s="46"/>
      <c r="I67" s="47"/>
      <c r="J67" s="53">
        <v>3044.9</v>
      </c>
    </row>
    <row r="68" spans="1:10" s="53" customFormat="1" ht="20.25" customHeight="1" x14ac:dyDescent="0.2">
      <c r="A68" s="25" t="s">
        <v>181</v>
      </c>
      <c r="B68" s="9" t="s">
        <v>10</v>
      </c>
      <c r="C68" s="89"/>
      <c r="D68" s="87">
        <f>(1948.84+8101.03+4423.71)*G68/J68</f>
        <v>2286.85</v>
      </c>
      <c r="E68" s="87">
        <f t="shared" ref="E68:E70" si="1">D68/G68</f>
        <v>4.75</v>
      </c>
      <c r="F68" s="87">
        <f t="shared" ref="F68:F70" si="2">E68/12</f>
        <v>0.4</v>
      </c>
      <c r="G68" s="46">
        <v>481.1</v>
      </c>
      <c r="H68" s="46"/>
      <c r="I68" s="47"/>
      <c r="J68" s="53">
        <v>3044.9</v>
      </c>
    </row>
    <row r="69" spans="1:10" s="53" customFormat="1" ht="20.25" customHeight="1" x14ac:dyDescent="0.2">
      <c r="A69" s="25" t="s">
        <v>182</v>
      </c>
      <c r="B69" s="9" t="s">
        <v>10</v>
      </c>
      <c r="C69" s="89"/>
      <c r="D69" s="87">
        <f>53980.38*G69/J69</f>
        <v>8529</v>
      </c>
      <c r="E69" s="87">
        <f t="shared" si="1"/>
        <v>17.73</v>
      </c>
      <c r="F69" s="87">
        <f t="shared" si="2"/>
        <v>1.48</v>
      </c>
      <c r="G69" s="46">
        <v>481.1</v>
      </c>
      <c r="H69" s="46"/>
      <c r="I69" s="47"/>
      <c r="J69" s="53">
        <v>3044.9</v>
      </c>
    </row>
    <row r="70" spans="1:10" s="53" customFormat="1" ht="20.25" customHeight="1" x14ac:dyDescent="0.2">
      <c r="A70" s="25" t="s">
        <v>183</v>
      </c>
      <c r="B70" s="9" t="s">
        <v>10</v>
      </c>
      <c r="C70" s="89"/>
      <c r="D70" s="87">
        <f>16151.77*G70/J70</f>
        <v>2552.0100000000002</v>
      </c>
      <c r="E70" s="87">
        <f t="shared" si="1"/>
        <v>5.3</v>
      </c>
      <c r="F70" s="87">
        <f t="shared" si="2"/>
        <v>0.44</v>
      </c>
      <c r="G70" s="46">
        <v>481.1</v>
      </c>
      <c r="H70" s="46"/>
      <c r="I70" s="47"/>
      <c r="J70" s="53">
        <v>3044.9</v>
      </c>
    </row>
    <row r="71" spans="1:10" s="46" customFormat="1" ht="20.25" thickBot="1" x14ac:dyDescent="0.45">
      <c r="A71" s="140" t="s">
        <v>64</v>
      </c>
      <c r="B71" s="141"/>
      <c r="C71" s="142"/>
      <c r="D71" s="98">
        <f>D65+D60+D53+D38+D37+D36+D35+D34+D33+D32+D31+D30+D16+D70+D69+D68+D67</f>
        <v>74429.17</v>
      </c>
      <c r="E71" s="98">
        <f t="shared" ref="E71:F71" si="3">E65+E60+E53+E38+E37+E36+E35+E34+E33+E32+E31+E30+E16+E70+E69+E68+E67</f>
        <v>154.69999999999999</v>
      </c>
      <c r="F71" s="98">
        <f t="shared" si="3"/>
        <v>12.9</v>
      </c>
      <c r="I71" s="47"/>
    </row>
    <row r="72" spans="1:10" s="108" customFormat="1" ht="19.5" thickBot="1" x14ac:dyDescent="0.45">
      <c r="A72" s="105"/>
      <c r="B72" s="106"/>
      <c r="C72" s="107"/>
      <c r="D72" s="107"/>
      <c r="E72" s="107"/>
      <c r="F72" s="107"/>
      <c r="I72" s="109"/>
    </row>
    <row r="73" spans="1:10" s="108" customFormat="1" ht="38.25" thickBot="1" x14ac:dyDescent="0.45">
      <c r="A73" s="92" t="s">
        <v>65</v>
      </c>
      <c r="B73" s="115"/>
      <c r="C73" s="116"/>
      <c r="D73" s="120">
        <v>0</v>
      </c>
      <c r="E73" s="120">
        <v>0</v>
      </c>
      <c r="F73" s="120">
        <v>0</v>
      </c>
      <c r="G73" s="46">
        <v>481.1</v>
      </c>
      <c r="I73" s="109"/>
    </row>
    <row r="74" spans="1:10" s="108" customFormat="1" ht="19.5" thickBot="1" x14ac:dyDescent="0.45">
      <c r="A74" s="105"/>
      <c r="B74" s="106"/>
      <c r="C74" s="107"/>
      <c r="D74" s="123"/>
      <c r="E74" s="123"/>
      <c r="F74" s="123"/>
      <c r="I74" s="109"/>
    </row>
    <row r="75" spans="1:10" s="118" customFormat="1" ht="20.25" thickBot="1" x14ac:dyDescent="0.45">
      <c r="A75" s="95" t="s">
        <v>66</v>
      </c>
      <c r="B75" s="110"/>
      <c r="C75" s="110"/>
      <c r="D75" s="124">
        <f>D71+D73</f>
        <v>74429.17</v>
      </c>
      <c r="E75" s="124">
        <f>E71+E73</f>
        <v>154.69999999999999</v>
      </c>
      <c r="F75" s="124">
        <f>F71+F73</f>
        <v>12.9</v>
      </c>
      <c r="I75" s="119"/>
    </row>
    <row r="76" spans="1:10" s="108" customFormat="1" ht="19.5" x14ac:dyDescent="0.4">
      <c r="A76" s="111"/>
      <c r="B76" s="112"/>
      <c r="C76" s="112"/>
      <c r="D76" s="113"/>
      <c r="E76" s="113"/>
      <c r="F76" s="113"/>
      <c r="I76" s="109"/>
    </row>
    <row r="77" spans="1:10" s="108" customFormat="1" ht="19.5" x14ac:dyDescent="0.4">
      <c r="A77" s="111"/>
      <c r="B77" s="112"/>
      <c r="C77" s="112"/>
      <c r="D77" s="113"/>
      <c r="E77" s="113"/>
      <c r="F77" s="113"/>
      <c r="I77" s="109"/>
    </row>
    <row r="78" spans="1:10" s="108" customFormat="1" ht="19.5" x14ac:dyDescent="0.4">
      <c r="A78" s="111"/>
      <c r="B78" s="112"/>
      <c r="C78" s="112"/>
      <c r="D78" s="113"/>
      <c r="E78" s="113"/>
      <c r="F78" s="113"/>
      <c r="I78" s="109"/>
    </row>
    <row r="79" spans="1:10" s="100" customFormat="1" ht="19.5" x14ac:dyDescent="0.2">
      <c r="A79" s="114"/>
      <c r="B79" s="112"/>
      <c r="C79" s="113"/>
      <c r="D79" s="113"/>
      <c r="E79" s="113"/>
      <c r="F79" s="113"/>
      <c r="I79" s="101"/>
    </row>
    <row r="80" spans="1:10" s="103" customFormat="1" ht="14.25" x14ac:dyDescent="0.2">
      <c r="A80" s="203" t="s">
        <v>67</v>
      </c>
      <c r="B80" s="203"/>
      <c r="C80" s="203"/>
      <c r="D80" s="203"/>
      <c r="I80" s="104"/>
    </row>
    <row r="81" spans="1:9" s="103" customFormat="1" x14ac:dyDescent="0.2">
      <c r="I81" s="104"/>
    </row>
    <row r="82" spans="1:9" s="103" customFormat="1" x14ac:dyDescent="0.2">
      <c r="A82" s="102" t="s">
        <v>68</v>
      </c>
      <c r="I82" s="104"/>
    </row>
    <row r="83" spans="1:9" s="27" customFormat="1" x14ac:dyDescent="0.2">
      <c r="I83" s="28"/>
    </row>
    <row r="84" spans="1:9" s="27" customFormat="1" x14ac:dyDescent="0.2">
      <c r="I84" s="28"/>
    </row>
    <row r="85" spans="1:9" s="27" customFormat="1" x14ac:dyDescent="0.2">
      <c r="I85" s="28"/>
    </row>
    <row r="86" spans="1:9" s="27" customFormat="1" x14ac:dyDescent="0.2">
      <c r="I86" s="28"/>
    </row>
    <row r="87" spans="1:9" s="27" customFormat="1" x14ac:dyDescent="0.2">
      <c r="I87" s="28"/>
    </row>
    <row r="88" spans="1:9" s="27" customFormat="1" x14ac:dyDescent="0.2">
      <c r="I88" s="28"/>
    </row>
    <row r="89" spans="1:9" s="27" customFormat="1" x14ac:dyDescent="0.2">
      <c r="I89" s="28"/>
    </row>
    <row r="90" spans="1:9" s="27" customFormat="1" x14ac:dyDescent="0.2">
      <c r="I90" s="28"/>
    </row>
    <row r="91" spans="1:9" s="27" customFormat="1" x14ac:dyDescent="0.2">
      <c r="I91" s="28"/>
    </row>
    <row r="92" spans="1:9" s="27" customFormat="1" x14ac:dyDescent="0.2">
      <c r="I92" s="28"/>
    </row>
    <row r="93" spans="1:9" s="27" customFormat="1" x14ac:dyDescent="0.2">
      <c r="I93" s="28"/>
    </row>
    <row r="94" spans="1:9" s="27" customFormat="1" x14ac:dyDescent="0.2">
      <c r="I94" s="28"/>
    </row>
    <row r="95" spans="1:9" s="27" customFormat="1" x14ac:dyDescent="0.2">
      <c r="I95" s="28"/>
    </row>
    <row r="96" spans="1:9" s="27" customFormat="1" x14ac:dyDescent="0.2">
      <c r="I96" s="28"/>
    </row>
    <row r="97" spans="9:9" s="27" customFormat="1" x14ac:dyDescent="0.2">
      <c r="I97" s="28"/>
    </row>
    <row r="98" spans="9:9" s="27" customFormat="1" x14ac:dyDescent="0.2">
      <c r="I98" s="28"/>
    </row>
    <row r="99" spans="9:9" s="27" customFormat="1" x14ac:dyDescent="0.2">
      <c r="I99" s="28"/>
    </row>
    <row r="100" spans="9:9" s="27" customFormat="1" x14ac:dyDescent="0.2">
      <c r="I100" s="28"/>
    </row>
  </sheetData>
  <mergeCells count="13">
    <mergeCell ref="A7:F7"/>
    <mergeCell ref="A9:F9"/>
    <mergeCell ref="G9:J9"/>
    <mergeCell ref="A1:F1"/>
    <mergeCell ref="B2:F2"/>
    <mergeCell ref="B3:F3"/>
    <mergeCell ref="B5:F5"/>
    <mergeCell ref="A6:F6"/>
    <mergeCell ref="A12:F12"/>
    <mergeCell ref="A15:F15"/>
    <mergeCell ref="A80:D80"/>
    <mergeCell ref="A8:H8"/>
    <mergeCell ref="A10:H10"/>
  </mergeCells>
  <printOptions horizontalCentered="1"/>
  <pageMargins left="0.2" right="0.2" top="0.19685039370078741" bottom="0.2" header="0.2" footer="0.2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проект 290Пост</vt:lpstr>
      <vt:lpstr>по заявлению</vt:lpstr>
      <vt:lpstr>население</vt:lpstr>
      <vt:lpstr>по голосованию</vt:lpstr>
      <vt:lpstr>ЗАО "Корпорация"</vt:lpstr>
      <vt:lpstr>'ЗАО "Корпорация"'!Область_печати</vt:lpstr>
      <vt:lpstr>население!Область_печати</vt:lpstr>
      <vt:lpstr>'по голосованию'!Область_печати</vt:lpstr>
      <vt:lpstr>'по заявлению'!Область_печати</vt:lpstr>
      <vt:lpstr>'проект 290Пост'!Область_печати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user</cp:lastModifiedBy>
  <cp:lastPrinted>2017-04-04T06:19:56Z</cp:lastPrinted>
  <dcterms:created xsi:type="dcterms:W3CDTF">2014-02-03T04:23:49Z</dcterms:created>
  <dcterms:modified xsi:type="dcterms:W3CDTF">2017-04-28T10:42:18Z</dcterms:modified>
</cp:coreProperties>
</file>